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6\Cuenta publica ASEH 2016\1er trimestre\Presupuestaria\"/>
    </mc:Choice>
  </mc:AlternateContent>
  <bookViews>
    <workbookView xWindow="120" yWindow="465" windowWidth="15195" windowHeight="7575"/>
  </bookViews>
  <sheets>
    <sheet name="x capitulo" sheetId="9" r:id="rId1"/>
    <sheet name="x objeto del gasto" sheetId="7" r:id="rId2"/>
    <sheet name="x clasif econ" sheetId="12" r:id="rId3"/>
    <sheet name="x clasif func" sheetId="8" r:id="rId4"/>
    <sheet name="x clasif admtva" sheetId="14" r:id="rId5"/>
    <sheet name="Hoja4" sheetId="15" r:id="rId6"/>
  </sheets>
  <definedNames>
    <definedName name="_xlnm.Print_Area" localSheetId="0">'x capitulo'!$A$1:$L$69</definedName>
    <definedName name="_xlnm.Print_Area" localSheetId="4">'x clasif admtva'!$A$1:$J$47</definedName>
    <definedName name="_xlnm.Print_Area" localSheetId="2">'x clasif econ'!$A$1:$L$44</definedName>
    <definedName name="_xlnm.Print_Area" localSheetId="3">'x clasif func'!$A$1:$I$70</definedName>
    <definedName name="_xlnm.Print_Area" localSheetId="1">'x objeto del gasto'!$A$1:$L$70</definedName>
    <definedName name="_xlnm.Print_Titles" localSheetId="0">'x capitulo'!$1:$18</definedName>
    <definedName name="_xlnm.Print_Titles" localSheetId="4">'x clasif admtva'!$1:$30</definedName>
    <definedName name="_xlnm.Print_Titles" localSheetId="2">'x clasif econ'!$1:$20</definedName>
    <definedName name="_xlnm.Print_Titles" localSheetId="1">'x objeto del gasto'!$1:$19</definedName>
  </definedNames>
  <calcPr calcId="152511"/>
</workbook>
</file>

<file path=xl/calcChain.xml><?xml version="1.0" encoding="utf-8"?>
<calcChain xmlns="http://schemas.openxmlformats.org/spreadsheetml/2006/main">
  <c r="H19" i="14" l="1"/>
  <c r="G19" i="14"/>
  <c r="L21" i="7"/>
  <c r="K21" i="7"/>
  <c r="F21" i="7"/>
  <c r="C45" i="7"/>
  <c r="C42" i="7"/>
  <c r="C41" i="7"/>
  <c r="C40" i="7"/>
  <c r="C39" i="7"/>
  <c r="C38" i="7"/>
  <c r="C37" i="7"/>
  <c r="C36" i="7"/>
  <c r="C35" i="7"/>
  <c r="C34" i="7"/>
  <c r="C43" i="7" s="1"/>
  <c r="C32" i="7"/>
  <c r="C31" i="7"/>
  <c r="C30" i="7"/>
  <c r="C29" i="7"/>
  <c r="C33" i="7" s="1"/>
  <c r="C28" i="7"/>
  <c r="C27" i="7"/>
  <c r="C26" i="7"/>
  <c r="C22" i="7"/>
  <c r="C21" i="7"/>
  <c r="C25" i="7" s="1"/>
  <c r="F22" i="7"/>
  <c r="K22" i="7" s="1"/>
  <c r="G22" i="7"/>
  <c r="H22" i="7"/>
  <c r="I22" i="7"/>
  <c r="J22" i="7"/>
  <c r="C50" i="7"/>
  <c r="L22" i="7" l="1"/>
  <c r="H30" i="14"/>
  <c r="G30" i="14"/>
  <c r="E30" i="14"/>
  <c r="D30" i="14"/>
  <c r="F19" i="14"/>
  <c r="I19" i="14" s="1"/>
  <c r="I30" i="14" s="1"/>
  <c r="F30" i="14" l="1"/>
  <c r="J34" i="7" l="1"/>
  <c r="I34" i="7"/>
  <c r="J42" i="7" l="1"/>
  <c r="I42" i="7"/>
  <c r="J38" i="7"/>
  <c r="I38" i="7"/>
  <c r="J36" i="7"/>
  <c r="I36" i="7"/>
  <c r="H38" i="7"/>
  <c r="H36" i="7"/>
  <c r="H34" i="7"/>
  <c r="J44" i="7"/>
  <c r="J41" i="7"/>
  <c r="J40" i="7"/>
  <c r="J39" i="7"/>
  <c r="J37" i="7"/>
  <c r="J35" i="7"/>
  <c r="J32" i="7"/>
  <c r="J31" i="7"/>
  <c r="J30" i="7"/>
  <c r="J29" i="7"/>
  <c r="J28" i="7"/>
  <c r="J27" i="7"/>
  <c r="J26" i="7"/>
  <c r="J23" i="7"/>
  <c r="J20" i="7"/>
  <c r="I44" i="7"/>
  <c r="I41" i="7"/>
  <c r="I40" i="7"/>
  <c r="I39" i="7"/>
  <c r="I37" i="7"/>
  <c r="I35" i="7"/>
  <c r="I32" i="7"/>
  <c r="I31" i="7"/>
  <c r="I30" i="7"/>
  <c r="I29" i="7"/>
  <c r="I28" i="7"/>
  <c r="I27" i="7"/>
  <c r="I26" i="7"/>
  <c r="I23" i="7"/>
  <c r="I20" i="7"/>
  <c r="H44" i="7"/>
  <c r="H42" i="7"/>
  <c r="H41" i="7"/>
  <c r="H40" i="7"/>
  <c r="H39" i="7"/>
  <c r="H37" i="7"/>
  <c r="H35" i="7"/>
  <c r="H32" i="7"/>
  <c r="H31" i="7"/>
  <c r="H30" i="7"/>
  <c r="H29" i="7"/>
  <c r="H28" i="7"/>
  <c r="H27" i="7"/>
  <c r="H26" i="7"/>
  <c r="H23" i="7"/>
  <c r="H20" i="7"/>
  <c r="G38" i="7"/>
  <c r="G36" i="7"/>
  <c r="G34" i="7"/>
  <c r="I43" i="7" l="1"/>
  <c r="H43" i="7"/>
  <c r="H33" i="7"/>
  <c r="H25" i="7"/>
  <c r="I33" i="7"/>
  <c r="J25" i="7"/>
  <c r="J33" i="7"/>
  <c r="I25" i="7"/>
  <c r="J43" i="7"/>
  <c r="J45" i="7" l="1"/>
  <c r="I45" i="7"/>
  <c r="H45" i="7"/>
  <c r="G44" i="7"/>
  <c r="G42" i="7"/>
  <c r="G41" i="7"/>
  <c r="G40" i="7"/>
  <c r="G39" i="7"/>
  <c r="G37" i="7"/>
  <c r="G35" i="7"/>
  <c r="G32" i="7"/>
  <c r="G30" i="7"/>
  <c r="G28" i="7"/>
  <c r="G27" i="7"/>
  <c r="G26" i="7"/>
  <c r="G20" i="7"/>
  <c r="G46" i="7"/>
  <c r="G31" i="7"/>
  <c r="G29" i="7"/>
  <c r="G23" i="7"/>
  <c r="I50" i="7" l="1"/>
  <c r="H50" i="7"/>
  <c r="J49" i="7"/>
  <c r="J48" i="7"/>
  <c r="J47" i="7"/>
  <c r="H52" i="7" l="1"/>
  <c r="I52" i="7"/>
  <c r="F49" i="7" l="1"/>
  <c r="L49" i="7" s="1"/>
  <c r="F48" i="7"/>
  <c r="L48" i="7" s="1"/>
  <c r="F47" i="7"/>
  <c r="F46" i="7"/>
  <c r="F44" i="7"/>
  <c r="F42" i="7"/>
  <c r="F41" i="7"/>
  <c r="F40" i="7"/>
  <c r="F39" i="7"/>
  <c r="F38" i="7"/>
  <c r="F37" i="7"/>
  <c r="F36" i="7"/>
  <c r="F35" i="7"/>
  <c r="F34" i="7"/>
  <c r="F32" i="7"/>
  <c r="F31" i="7"/>
  <c r="F30" i="7"/>
  <c r="F29" i="7"/>
  <c r="F28" i="7"/>
  <c r="F27" i="7"/>
  <c r="F26" i="7"/>
  <c r="F23" i="7"/>
  <c r="F24" i="7"/>
  <c r="F20" i="7"/>
  <c r="F33" i="9"/>
  <c r="L33" i="9" s="1"/>
  <c r="F34" i="9"/>
  <c r="K34" i="9" s="1"/>
  <c r="F35" i="9"/>
  <c r="K35" i="9" s="1"/>
  <c r="F36" i="9"/>
  <c r="K36" i="9" s="1"/>
  <c r="F37" i="9"/>
  <c r="L37" i="9" s="1"/>
  <c r="F38" i="9"/>
  <c r="K38" i="9" s="1"/>
  <c r="F39" i="9"/>
  <c r="L39" i="9" s="1"/>
  <c r="F40" i="9"/>
  <c r="L40" i="9" s="1"/>
  <c r="F41" i="9"/>
  <c r="L41" i="9" s="1"/>
  <c r="F43" i="9"/>
  <c r="K43" i="9" s="1"/>
  <c r="F45" i="9"/>
  <c r="F46" i="9"/>
  <c r="K46" i="9" s="1"/>
  <c r="F47" i="9"/>
  <c r="L47" i="9" s="1"/>
  <c r="F48" i="9"/>
  <c r="K48" i="9" s="1"/>
  <c r="K30" i="7" l="1"/>
  <c r="L30" i="7"/>
  <c r="K24" i="7"/>
  <c r="L24" i="7"/>
  <c r="K42" i="7"/>
  <c r="L42" i="7"/>
  <c r="L39" i="7"/>
  <c r="K39" i="7"/>
  <c r="K31" i="7"/>
  <c r="L31" i="7"/>
  <c r="K23" i="7"/>
  <c r="L23" i="7"/>
  <c r="L32" i="7"/>
  <c r="K32" i="7"/>
  <c r="K26" i="7"/>
  <c r="L26" i="7"/>
  <c r="L35" i="7"/>
  <c r="K35" i="7"/>
  <c r="K36" i="7"/>
  <c r="L36" i="7"/>
  <c r="L28" i="7"/>
  <c r="K28" i="7"/>
  <c r="L37" i="7"/>
  <c r="K37" i="7"/>
  <c r="L47" i="7"/>
  <c r="K47" i="7"/>
  <c r="L20" i="7"/>
  <c r="K20" i="7"/>
  <c r="L40" i="7"/>
  <c r="K40" i="7"/>
  <c r="K41" i="7"/>
  <c r="L41" i="7"/>
  <c r="L34" i="7"/>
  <c r="K34" i="7"/>
  <c r="K44" i="7"/>
  <c r="L44" i="7"/>
  <c r="K27" i="7"/>
  <c r="L27" i="7"/>
  <c r="K46" i="7"/>
  <c r="L46" i="7"/>
  <c r="K29" i="7"/>
  <c r="L29" i="7"/>
  <c r="L38" i="7"/>
  <c r="K38" i="7"/>
  <c r="K47" i="9"/>
  <c r="K37" i="9"/>
  <c r="L46" i="9"/>
  <c r="K33" i="9"/>
  <c r="K41" i="9"/>
  <c r="L38" i="9"/>
  <c r="K39" i="9"/>
  <c r="L36" i="9"/>
  <c r="K40" i="9"/>
  <c r="L35" i="9"/>
  <c r="K45" i="9"/>
  <c r="L43" i="9"/>
  <c r="L34" i="9"/>
  <c r="L25" i="12" l="1"/>
  <c r="J24" i="9" l="1"/>
  <c r="K25" i="7" l="1"/>
  <c r="H24" i="9"/>
  <c r="K33" i="7"/>
  <c r="H32" i="9"/>
  <c r="K43" i="7"/>
  <c r="H42" i="9"/>
  <c r="K50" i="7"/>
  <c r="H49" i="9"/>
  <c r="H23" i="12" s="1"/>
  <c r="I47" i="9" l="1"/>
  <c r="I46" i="9"/>
  <c r="H48" i="9" l="1"/>
  <c r="J47" i="9"/>
  <c r="J46" i="9"/>
  <c r="H45" i="9"/>
  <c r="I43" i="9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I31" i="9"/>
  <c r="J31" i="9" s="1"/>
  <c r="F31" i="9"/>
  <c r="I30" i="9"/>
  <c r="J30" i="9" s="1"/>
  <c r="F30" i="9"/>
  <c r="I29" i="9"/>
  <c r="J29" i="9" s="1"/>
  <c r="F29" i="9"/>
  <c r="I28" i="9"/>
  <c r="J28" i="9" s="1"/>
  <c r="F28" i="9"/>
  <c r="I27" i="9"/>
  <c r="J27" i="9" s="1"/>
  <c r="F27" i="9"/>
  <c r="I26" i="9"/>
  <c r="J26" i="9" s="1"/>
  <c r="F26" i="9"/>
  <c r="I25" i="9"/>
  <c r="J25" i="9" s="1"/>
  <c r="F25" i="9"/>
  <c r="I23" i="9"/>
  <c r="F23" i="9"/>
  <c r="L23" i="9" s="1"/>
  <c r="I22" i="9"/>
  <c r="J22" i="9" s="1"/>
  <c r="F22" i="9"/>
  <c r="L22" i="9" s="1"/>
  <c r="I21" i="9"/>
  <c r="J21" i="9" s="1"/>
  <c r="F21" i="9"/>
  <c r="L21" i="9" s="1"/>
  <c r="I20" i="9"/>
  <c r="J20" i="9" s="1"/>
  <c r="F20" i="9"/>
  <c r="L20" i="9" s="1"/>
  <c r="I19" i="9"/>
  <c r="J19" i="9" s="1"/>
  <c r="F19" i="9"/>
  <c r="L19" i="9" s="1"/>
  <c r="K27" i="9" l="1"/>
  <c r="L27" i="9"/>
  <c r="L31" i="9"/>
  <c r="K31" i="9"/>
  <c r="K28" i="9"/>
  <c r="L28" i="9"/>
  <c r="K25" i="9"/>
  <c r="L25" i="9"/>
  <c r="K29" i="9"/>
  <c r="L29" i="9"/>
  <c r="L30" i="9"/>
  <c r="K30" i="9"/>
  <c r="L45" i="9"/>
  <c r="I45" i="9"/>
  <c r="J45" i="9" s="1"/>
  <c r="L26" i="9"/>
  <c r="K26" i="9"/>
  <c r="L48" i="9"/>
  <c r="I48" i="9"/>
  <c r="J48" i="9"/>
  <c r="J33" i="9"/>
  <c r="J43" i="9"/>
  <c r="J44" i="9" l="1"/>
  <c r="D50" i="7"/>
  <c r="D49" i="9" s="1"/>
  <c r="D23" i="12" s="1"/>
  <c r="E50" i="7"/>
  <c r="E49" i="9" s="1"/>
  <c r="E23" i="12" s="1"/>
  <c r="G50" i="7"/>
  <c r="G49" i="9" s="1"/>
  <c r="G23" i="12" s="1"/>
  <c r="C49" i="9"/>
  <c r="C23" i="12" s="1"/>
  <c r="J50" i="7" l="1"/>
  <c r="J49" i="9" s="1"/>
  <c r="J23" i="12" s="1"/>
  <c r="I49" i="9"/>
  <c r="I23" i="12" s="1"/>
  <c r="J42" i="9"/>
  <c r="I42" i="9"/>
  <c r="J32" i="9"/>
  <c r="I32" i="9"/>
  <c r="I24" i="9"/>
  <c r="E33" i="7"/>
  <c r="E32" i="9" s="1"/>
  <c r="J51" i="9" l="1"/>
  <c r="J52" i="7"/>
  <c r="D25" i="7"/>
  <c r="D24" i="9" s="1"/>
  <c r="E25" i="7"/>
  <c r="E24" i="9" s="1"/>
  <c r="C24" i="9"/>
  <c r="J21" i="12" l="1"/>
  <c r="J27" i="12" s="1"/>
  <c r="L45" i="7"/>
  <c r="H44" i="9"/>
  <c r="H51" i="9" s="1"/>
  <c r="G45" i="7"/>
  <c r="G44" i="9" s="1"/>
  <c r="E45" i="7"/>
  <c r="E44" i="9" s="1"/>
  <c r="D45" i="7"/>
  <c r="D44" i="9" s="1"/>
  <c r="C44" i="9"/>
  <c r="H21" i="12" l="1"/>
  <c r="H27" i="12" s="1"/>
  <c r="F45" i="7"/>
  <c r="F44" i="9" s="1"/>
  <c r="K45" i="7"/>
  <c r="I44" i="9"/>
  <c r="I51" i="9" s="1"/>
  <c r="I21" i="12" l="1"/>
  <c r="I27" i="12" s="1"/>
  <c r="L44" i="9"/>
  <c r="K44" i="9"/>
  <c r="C42" i="9"/>
  <c r="G43" i="7" l="1"/>
  <c r="G42" i="9" s="1"/>
  <c r="D43" i="7" l="1"/>
  <c r="D42" i="9" s="1"/>
  <c r="E43" i="7"/>
  <c r="D33" i="7"/>
  <c r="D32" i="9" s="1"/>
  <c r="G33" i="7"/>
  <c r="G32" i="9" s="1"/>
  <c r="L50" i="7" l="1"/>
  <c r="D51" i="9"/>
  <c r="E52" i="7"/>
  <c r="E42" i="9"/>
  <c r="E51" i="9" s="1"/>
  <c r="C52" i="7"/>
  <c r="C32" i="9"/>
  <c r="C51" i="9" s="1"/>
  <c r="L33" i="7"/>
  <c r="L25" i="7"/>
  <c r="F50" i="7"/>
  <c r="F49" i="9" s="1"/>
  <c r="F23" i="12" s="1"/>
  <c r="D52" i="7"/>
  <c r="F25" i="7"/>
  <c r="F24" i="9" s="1"/>
  <c r="L43" i="7"/>
  <c r="L24" i="9" l="1"/>
  <c r="C21" i="12"/>
  <c r="C27" i="12" s="1"/>
  <c r="E21" i="12"/>
  <c r="E27" i="12" s="1"/>
  <c r="D21" i="12"/>
  <c r="D27" i="12" s="1"/>
  <c r="L49" i="9"/>
  <c r="L23" i="12" s="1"/>
  <c r="K49" i="9"/>
  <c r="K23" i="12" s="1"/>
  <c r="G25" i="7"/>
  <c r="F43" i="7"/>
  <c r="F42" i="9" s="1"/>
  <c r="F33" i="7"/>
  <c r="F32" i="9" s="1"/>
  <c r="F51" i="9" l="1"/>
  <c r="G52" i="7"/>
  <c r="G24" i="9"/>
  <c r="K24" i="9" s="1"/>
  <c r="L42" i="9"/>
  <c r="K42" i="9"/>
  <c r="K32" i="9"/>
  <c r="L32" i="9"/>
  <c r="F52" i="7"/>
  <c r="L52" i="7"/>
  <c r="F21" i="12" l="1"/>
  <c r="L21" i="12" s="1"/>
  <c r="L27" i="12" s="1"/>
  <c r="G51" i="9"/>
  <c r="K51" i="9"/>
  <c r="K21" i="12" s="1"/>
  <c r="L51" i="9"/>
  <c r="K52" i="7"/>
  <c r="F27" i="12" l="1"/>
  <c r="G21" i="12"/>
  <c r="G27" i="12" s="1"/>
  <c r="K27" i="12"/>
</calcChain>
</file>

<file path=xl/sharedStrings.xml><?xml version="1.0" encoding="utf-8"?>
<sst xmlns="http://schemas.openxmlformats.org/spreadsheetml/2006/main" count="205" uniqueCount="114">
  <si>
    <t>Universidad Tecnológica de Tula-Tepeji</t>
  </si>
  <si>
    <t>Modificado</t>
  </si>
  <si>
    <t>Devengado</t>
  </si>
  <si>
    <t>Concepto</t>
  </si>
  <si>
    <t>Presupuesto de egresos aprobado</t>
  </si>
  <si>
    <t>Comprometido</t>
  </si>
  <si>
    <t>Pagado</t>
  </si>
  <si>
    <t>Crédito disponible para comprometer (Modificado-Comprometido)</t>
  </si>
  <si>
    <t>Crédito disponible (Modificado-Devengado)</t>
  </si>
  <si>
    <t>(Pesos)</t>
  </si>
  <si>
    <t>3000  SERVICIOS GENERALES</t>
  </si>
  <si>
    <t>COMBUSTIBLES, LUBRICANTES Y ADITIVOS</t>
  </si>
  <si>
    <t>1000   SERVICIOS PERSONALES</t>
  </si>
  <si>
    <t>2000 MATERIALES Y SUMINISTROS</t>
  </si>
  <si>
    <t>5000   BIENES MUEBLES</t>
  </si>
  <si>
    <t>REMUNERACIONES AL PERSONAL DE CARÁCTER PERMANENTE</t>
  </si>
  <si>
    <t>REMUNERACIONES ADICIONALES Y ESPECIALES</t>
  </si>
  <si>
    <t>SEGURIDAD SOCIAL</t>
  </si>
  <si>
    <t>OTRAS PRESTACIONES SOCIALES Y ECONOMICAS</t>
  </si>
  <si>
    <t>MATERIALES Y UTILES DE ADMINISTRACION Y DE ENSEÑANZA</t>
  </si>
  <si>
    <t>PRODUCTOS ALIMENTICIOS</t>
  </si>
  <si>
    <t>MATERIALES Y ARTICULOS DE CONSTRUCCION</t>
  </si>
  <si>
    <t>VESTUARIO, BLANCOS, PRENDAS DE PROTECCION PERSONAL Y ARTICULOS DEPORTIVOS</t>
  </si>
  <si>
    <t>MATERIAS PRIMAS DE PRODUCCION, PRODUCTOS QUIMICOS, FARMACEUTICOS Y DE LABORATORIO</t>
  </si>
  <si>
    <t>SERVICIOS BASICOS</t>
  </si>
  <si>
    <t>SERVICIOS DE ARRENDAMIENTO</t>
  </si>
  <si>
    <t>ASESORIAS, CONSULTORIAS, SERVICIOS INFORMATICOS, ESTUDIOS E INVESTIGACIONES Y OTROS SERVICIOS</t>
  </si>
  <si>
    <t>SERVICIOS COMERCIAL, BANCARIO, FINANCIERO, SUBCONTRATACION DE SERVICIOS CON TERCEROS Y GASTOS INHERENTES</t>
  </si>
  <si>
    <t>SERVICIOS DE MANTENIMIENTO Y CONSERVACION</t>
  </si>
  <si>
    <t>SERVICIOS DE IMPRESION, GRABADO, PUBLICACION, DIFUSION E INFORMACION</t>
  </si>
  <si>
    <t>SERVICIOS DE COMUNICACION SOCIAL Y PUBLICIDAD</t>
  </si>
  <si>
    <t>SERVICIOS OFICIALES</t>
  </si>
  <si>
    <t>MOBILIARIO Y EQUIPO DE ADMINISTRACION</t>
  </si>
  <si>
    <t>Ramo</t>
  </si>
  <si>
    <t>Finalidad</t>
  </si>
  <si>
    <t>Subfunción:</t>
  </si>
  <si>
    <t>2. Desarrollo Social</t>
  </si>
  <si>
    <t>3. Educación Superior</t>
  </si>
  <si>
    <t>11 Educación Pública</t>
  </si>
  <si>
    <t>OTROS SERVICIOS GENERALES</t>
  </si>
  <si>
    <t>HERRAMIENTAS, REFACCIONES Y ACCESORIOS MENORES</t>
  </si>
  <si>
    <t>MAQUINARIA, OTROS EQUIPOS Y HERRAMIENTAS</t>
  </si>
  <si>
    <t>MOBILIARIO Y EQUIPO EDUCACIONAL Y RECREATIVO</t>
  </si>
  <si>
    <t>S U B T O T A L</t>
  </si>
  <si>
    <t>4000  TRANSFERENCIAS</t>
  </si>
  <si>
    <t>SUBSIDIOS Y SUBVENCIONES</t>
  </si>
  <si>
    <t>PAGO DE ESTIMULOS A SERVIDORES PUBLICOS</t>
  </si>
  <si>
    <t>Presupuesto Autorizado (1)</t>
  </si>
  <si>
    <t>EQUIPO E INSTRUMENTAL MEDICO Y DE LABORATORIO</t>
  </si>
  <si>
    <r>
      <rPr>
        <b/>
        <sz val="10"/>
        <color theme="1"/>
        <rFont val="Arial"/>
        <family val="2"/>
      </rPr>
      <t>Tipo de Gasto</t>
    </r>
    <r>
      <rPr>
        <sz val="10"/>
        <color theme="1"/>
        <rFont val="Arial"/>
        <family val="2"/>
      </rPr>
      <t>:  Gasto corriente</t>
    </r>
  </si>
  <si>
    <t xml:space="preserve">Reducciones      </t>
  </si>
  <si>
    <t>T O T A L</t>
  </si>
  <si>
    <t>Gasto Corriente</t>
  </si>
  <si>
    <t>Gasto de Capital</t>
  </si>
  <si>
    <t>Amortizacion de la Deuda y disminución de pasivos</t>
  </si>
  <si>
    <t xml:space="preserve">Ampliaciones    </t>
  </si>
  <si>
    <t xml:space="preserve">Ejercido </t>
  </si>
  <si>
    <t>“Bajo protesta de decir verdad declaramos que los Estados Financieros y sus Notas, son razonablemente correctos y son responsabilidad del emisor”</t>
  </si>
  <si>
    <t xml:space="preserve">Ampliaciones         </t>
  </si>
  <si>
    <t xml:space="preserve">Reducciones        </t>
  </si>
  <si>
    <t xml:space="preserve">Ejercido     </t>
  </si>
  <si>
    <t>ESTADO DEL EJERCICIO DEL PRESUPUESTO DE EGRESOS</t>
  </si>
  <si>
    <t xml:space="preserve">Ampliaciones                 </t>
  </si>
  <si>
    <t xml:space="preserve">Reducciones            </t>
  </si>
  <si>
    <t>Ejercido</t>
  </si>
  <si>
    <t>Por Clasificación económica, al 31 de Marzo de 2016</t>
  </si>
  <si>
    <t>Por capítulo de gasto, al 31 de Marzo de 2016</t>
  </si>
  <si>
    <t>Por Objeto del Gasto, al 31 de Marzo de 2016</t>
  </si>
  <si>
    <t>ESTADO ANALITICO DEL EJERCICIO DEL PRESUPUESTO DE EGRESOS</t>
  </si>
  <si>
    <t>Por Clasificación funcional, Subsidio Federal, Subsidio Estatal e Ingresos Propios</t>
  </si>
  <si>
    <t>Del 1 de Enero al 30 de Junio de 2016</t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</si>
  <si>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</si>
  <si>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</si>
  <si>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</si>
  <si>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</si>
  <si>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</si>
  <si>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</si>
  <si>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</si>
  <si>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</si>
  <si>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</si>
  <si>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</si>
  <si>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</si>
  <si>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</si>
  <si>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</si>
  <si>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</si>
  <si>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</si>
  <si>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</si>
  <si>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</si>
  <si>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</si>
  <si>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</si>
  <si>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</si>
  <si>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</si>
  <si>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</si>
  <si>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</si>
  <si>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</si>
  <si>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</si>
  <si>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</si>
  <si>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</si>
  <si>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</si>
  <si>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</si>
  <si>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</si>
  <si>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</si>
  <si>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</si>
  <si>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</si>
  <si>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</si>
  <si>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</si>
  <si>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</si>
  <si>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</si>
  <si>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</si>
  <si>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</si>
  <si>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 xml:space="preserve">Ramo 11 Educación Superior </t>
  </si>
  <si>
    <t xml:space="preserve">       Universidad Tecnológica de Tula-Tepeji</t>
  </si>
  <si>
    <t>Del 1 de Enero al 31 de Marzo de 2016</t>
  </si>
  <si>
    <t>REMUNERACIONES AL PERSONAL DE CARÁCTER TRANSITORIO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</si>
</sst>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.5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9" fillId="4" borderId="0" applyFill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</cellStyleXfs>
  <cellXfs count="16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38" fontId="8" fillId="2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9" fillId="0" borderId="1" xfId="1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8" fontId="14" fillId="0" borderId="1" xfId="0" applyNumberFormat="1" applyFont="1" applyFill="1" applyBorder="1" applyAlignment="1" applyProtection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3" fontId="14" fillId="0" borderId="1" xfId="1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38" fontId="14" fillId="0" borderId="11" xfId="0" applyNumberFormat="1" applyFont="1" applyFill="1" applyBorder="1" applyAlignment="1" applyProtection="1">
      <alignment horizontal="left" vertical="center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13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/>
    <xf numFmtId="164" fontId="10" fillId="3" borderId="2" xfId="6" applyNumberFormat="1" applyFont="1" applyFill="1" applyBorder="1" applyAlignment="1" applyProtection="1">
      <alignment horizontal="center" vertical="center"/>
    </xf>
    <xf numFmtId="164" fontId="10" fillId="3" borderId="3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/>
    </xf>
    <xf numFmtId="164" fontId="10" fillId="3" borderId="14" xfId="6" applyNumberFormat="1" applyFont="1" applyFill="1" applyBorder="1" applyAlignment="1" applyProtection="1">
      <alignment horizontal="center" vertical="center"/>
    </xf>
    <xf numFmtId="164" fontId="10" fillId="3" borderId="7" xfId="6" applyNumberFormat="1" applyFont="1" applyFill="1" applyBorder="1" applyAlignment="1" applyProtection="1">
      <alignment horizontal="center" vertical="center"/>
    </xf>
    <xf numFmtId="164" fontId="10" fillId="3" borderId="11" xfId="6" applyNumberFormat="1" applyFont="1" applyFill="1" applyBorder="1" applyAlignment="1" applyProtection="1">
      <alignment horizontal="center" vertical="center"/>
    </xf>
    <xf numFmtId="164" fontId="10" fillId="3" borderId="9" xfId="6" applyNumberFormat="1" applyFont="1" applyFill="1" applyBorder="1" applyAlignment="1" applyProtection="1">
      <alignment horizontal="center" vertical="center"/>
    </xf>
    <xf numFmtId="164" fontId="10" fillId="3" borderId="10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 wrapText="1"/>
    </xf>
    <xf numFmtId="164" fontId="10" fillId="3" borderId="12" xfId="6" applyNumberFormat="1" applyFont="1" applyFill="1" applyBorder="1" applyAlignment="1" applyProtection="1">
      <alignment horizontal="center" vertical="center"/>
    </xf>
    <xf numFmtId="164" fontId="10" fillId="3" borderId="4" xfId="6" applyNumberFormat="1" applyFont="1" applyFill="1" applyBorder="1" applyAlignment="1" applyProtection="1">
      <alignment horizontal="center" vertical="center"/>
    </xf>
    <xf numFmtId="164" fontId="10" fillId="3" borderId="5" xfId="6" applyNumberFormat="1" applyFont="1" applyFill="1" applyBorder="1" applyAlignment="1" applyProtection="1">
      <alignment horizontal="center" vertical="center"/>
    </xf>
    <xf numFmtId="164" fontId="10" fillId="3" borderId="1" xfId="6" applyNumberFormat="1" applyFont="1" applyFill="1" applyBorder="1" applyAlignment="1" applyProtection="1">
      <alignment horizontal="center" vertic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justify" vertical="center" wrapText="1"/>
    </xf>
    <xf numFmtId="165" fontId="21" fillId="5" borderId="11" xfId="6" applyNumberFormat="1" applyFont="1" applyFill="1" applyBorder="1" applyAlignment="1">
      <alignment horizontal="justify" vertical="center" wrapText="1"/>
    </xf>
    <xf numFmtId="0" fontId="22" fillId="5" borderId="9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 wrapText="1"/>
    </xf>
    <xf numFmtId="165" fontId="22" fillId="5" borderId="13" xfId="6" applyNumberFormat="1" applyFont="1" applyFill="1" applyBorder="1" applyAlignment="1">
      <alignment horizontal="right" vertical="top" wrapText="1"/>
    </xf>
    <xf numFmtId="0" fontId="21" fillId="5" borderId="9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vertical="top"/>
    </xf>
    <xf numFmtId="165" fontId="21" fillId="5" borderId="13" xfId="6" applyNumberFormat="1" applyFont="1" applyFill="1" applyBorder="1" applyAlignment="1" applyProtection="1">
      <alignment horizontal="right" vertical="top" wrapText="1"/>
      <protection locked="0"/>
    </xf>
    <xf numFmtId="165" fontId="21" fillId="5" borderId="13" xfId="6" applyNumberFormat="1" applyFont="1" applyFill="1" applyBorder="1" applyAlignment="1">
      <alignment horizontal="right" vertical="top" wrapText="1"/>
    </xf>
    <xf numFmtId="0" fontId="21" fillId="5" borderId="9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justify" vertical="top"/>
    </xf>
    <xf numFmtId="165" fontId="21" fillId="5" borderId="13" xfId="6" applyNumberFormat="1" applyFont="1" applyFill="1" applyBorder="1" applyAlignment="1" applyProtection="1">
      <alignment horizontal="right" vertical="top" wrapText="1"/>
    </xf>
    <xf numFmtId="165" fontId="21" fillId="5" borderId="13" xfId="6" applyNumberFormat="1" applyFont="1" applyFill="1" applyBorder="1" applyAlignment="1" applyProtection="1">
      <alignment horizontal="right" vertical="top"/>
      <protection locked="0"/>
    </xf>
    <xf numFmtId="165" fontId="21" fillId="5" borderId="13" xfId="6" applyNumberFormat="1" applyFont="1" applyFill="1" applyBorder="1" applyAlignment="1" applyProtection="1">
      <alignment horizontal="right" vertical="top"/>
    </xf>
    <xf numFmtId="165" fontId="22" fillId="5" borderId="13" xfId="6" applyNumberFormat="1" applyFont="1" applyFill="1" applyBorder="1" applyAlignment="1">
      <alignment horizontal="right" vertical="top"/>
    </xf>
    <xf numFmtId="165" fontId="22" fillId="5" borderId="13" xfId="6" applyNumberFormat="1" applyFont="1" applyFill="1" applyBorder="1" applyAlignment="1" applyProtection="1">
      <alignment horizontal="right" vertical="top"/>
    </xf>
    <xf numFmtId="0" fontId="21" fillId="5" borderId="4" xfId="0" applyFont="1" applyFill="1" applyBorder="1" applyAlignment="1">
      <alignment horizontal="left" vertical="top"/>
    </xf>
    <xf numFmtId="0" fontId="21" fillId="5" borderId="5" xfId="0" applyFont="1" applyFill="1" applyBorder="1" applyAlignment="1">
      <alignment vertical="top"/>
    </xf>
    <xf numFmtId="165" fontId="21" fillId="5" borderId="12" xfId="6" applyNumberFormat="1" applyFont="1" applyFill="1" applyBorder="1" applyAlignment="1" applyProtection="1">
      <alignment horizontal="right" vertical="top"/>
    </xf>
    <xf numFmtId="0" fontId="22" fillId="5" borderId="4" xfId="0" applyFont="1" applyFill="1" applyBorder="1" applyAlignment="1">
      <alignment horizontal="left" vertical="top"/>
    </xf>
    <xf numFmtId="0" fontId="22" fillId="5" borderId="5" xfId="0" applyFont="1" applyFill="1" applyBorder="1" applyAlignment="1">
      <alignment vertical="top"/>
    </xf>
    <xf numFmtId="165" fontId="22" fillId="5" borderId="12" xfId="6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vertical="center" wrapText="1"/>
    </xf>
    <xf numFmtId="37" fontId="10" fillId="3" borderId="2" xfId="6" applyNumberFormat="1" applyFont="1" applyFill="1" applyBorder="1" applyAlignment="1" applyProtection="1">
      <alignment horizontal="center" vertical="center" wrapText="1"/>
    </xf>
    <xf numFmtId="37" fontId="10" fillId="3" borderId="3" xfId="6" applyNumberFormat="1" applyFont="1" applyFill="1" applyBorder="1" applyAlignment="1" applyProtection="1">
      <alignment horizontal="center" vertical="center"/>
    </xf>
    <xf numFmtId="37" fontId="10" fillId="3" borderId="6" xfId="6" applyNumberFormat="1" applyFont="1" applyFill="1" applyBorder="1" applyAlignment="1" applyProtection="1">
      <alignment horizontal="center"/>
    </xf>
    <xf numFmtId="37" fontId="10" fillId="3" borderId="14" xfId="6" applyNumberFormat="1" applyFont="1" applyFill="1" applyBorder="1" applyAlignment="1" applyProtection="1">
      <alignment horizontal="center"/>
    </xf>
    <xf numFmtId="37" fontId="10" fillId="3" borderId="7" xfId="6" applyNumberFormat="1" applyFont="1" applyFill="1" applyBorder="1" applyAlignment="1" applyProtection="1">
      <alignment horizontal="center"/>
    </xf>
    <xf numFmtId="37" fontId="10" fillId="3" borderId="1" xfId="6" applyNumberFormat="1" applyFont="1" applyFill="1" applyBorder="1" applyAlignment="1" applyProtection="1">
      <alignment horizontal="center" vertical="center" wrapText="1"/>
    </xf>
    <xf numFmtId="37" fontId="10" fillId="3" borderId="9" xfId="6" applyNumberFormat="1" applyFont="1" applyFill="1" applyBorder="1" applyAlignment="1" applyProtection="1">
      <alignment horizontal="center" vertical="center"/>
    </xf>
    <xf numFmtId="37" fontId="10" fillId="3" borderId="10" xfId="6" applyNumberFormat="1" applyFont="1" applyFill="1" applyBorder="1" applyAlignment="1" applyProtection="1">
      <alignment horizontal="center" vertical="center"/>
    </xf>
    <xf numFmtId="37" fontId="10" fillId="3" borderId="1" xfId="6" applyNumberFormat="1" applyFont="1" applyFill="1" applyBorder="1" applyAlignment="1" applyProtection="1">
      <alignment horizontal="center" vertical="center"/>
    </xf>
    <xf numFmtId="37" fontId="10" fillId="3" borderId="1" xfId="6" applyNumberFormat="1" applyFont="1" applyFill="1" applyBorder="1" applyAlignment="1" applyProtection="1">
      <alignment horizontal="center" wrapText="1"/>
    </xf>
    <xf numFmtId="37" fontId="10" fillId="3" borderId="4" xfId="6" applyNumberFormat="1" applyFont="1" applyFill="1" applyBorder="1" applyAlignment="1" applyProtection="1">
      <alignment horizontal="center" vertical="center"/>
    </xf>
    <xf numFmtId="37" fontId="10" fillId="3" borderId="5" xfId="6" applyNumberFormat="1" applyFont="1" applyFill="1" applyBorder="1" applyAlignment="1" applyProtection="1">
      <alignment horizontal="center" vertical="center"/>
    </xf>
    <xf numFmtId="37" fontId="10" fillId="3" borderId="1" xfId="6" applyNumberFormat="1" applyFont="1" applyFill="1" applyBorder="1" applyAlignment="1" applyProtection="1">
      <alignment horizontal="center"/>
    </xf>
    <xf numFmtId="0" fontId="23" fillId="5" borderId="9" xfId="0" applyFont="1" applyFill="1" applyBorder="1" applyAlignment="1">
      <alignment horizontal="justify" vertical="center" wrapText="1"/>
    </xf>
    <xf numFmtId="0" fontId="23" fillId="5" borderId="10" xfId="0" applyFont="1" applyFill="1" applyBorder="1" applyAlignment="1">
      <alignment horizontal="justify" vertical="center" wrapText="1"/>
    </xf>
    <xf numFmtId="6" fontId="23" fillId="5" borderId="13" xfId="0" applyNumberFormat="1" applyFont="1" applyFill="1" applyBorder="1" applyAlignment="1">
      <alignment horizontal="justify" vertical="center" wrapText="1"/>
    </xf>
    <xf numFmtId="0" fontId="23" fillId="5" borderId="9" xfId="0" applyFont="1" applyFill="1" applyBorder="1" applyAlignment="1">
      <alignment horizontal="justify" vertical="top" wrapText="1"/>
    </xf>
    <xf numFmtId="0" fontId="21" fillId="5" borderId="10" xfId="0" applyFont="1" applyFill="1" applyBorder="1" applyAlignment="1" applyProtection="1">
      <alignment horizontal="justify" vertical="top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</xf>
    <xf numFmtId="0" fontId="23" fillId="5" borderId="9" xfId="0" applyFont="1" applyFill="1" applyBorder="1" applyAlignment="1">
      <alignment horizontal="justify" vertical="top"/>
    </xf>
    <xf numFmtId="0" fontId="21" fillId="5" borderId="10" xfId="0" applyFont="1" applyFill="1" applyBorder="1" applyAlignment="1" applyProtection="1">
      <alignment horizontal="justify" vertical="top"/>
      <protection locked="0"/>
    </xf>
    <xf numFmtId="0" fontId="23" fillId="5" borderId="4" xfId="0" applyFont="1" applyFill="1" applyBorder="1" applyAlignment="1">
      <alignment horizontal="justify" vertical="top" wrapText="1"/>
    </xf>
    <xf numFmtId="0" fontId="21" fillId="5" borderId="5" xfId="0" applyFont="1" applyFill="1" applyBorder="1" applyAlignment="1">
      <alignment horizontal="justify" vertical="top" wrapText="1"/>
    </xf>
    <xf numFmtId="6" fontId="21" fillId="5" borderId="12" xfId="0" applyNumberFormat="1" applyFont="1" applyFill="1" applyBorder="1" applyAlignment="1">
      <alignment horizontal="justify" vertical="top" wrapText="1"/>
    </xf>
    <xf numFmtId="0" fontId="24" fillId="5" borderId="4" xfId="0" applyFont="1" applyFill="1" applyBorder="1" applyAlignment="1">
      <alignment horizontal="justify" vertical="top" wrapText="1"/>
    </xf>
    <xf numFmtId="0" fontId="22" fillId="5" borderId="5" xfId="0" applyFont="1" applyFill="1" applyBorder="1" applyAlignment="1">
      <alignment horizontal="justify" vertical="top" wrapText="1"/>
    </xf>
    <xf numFmtId="6" fontId="22" fillId="5" borderId="1" xfId="0" applyNumberFormat="1" applyFont="1" applyFill="1" applyBorder="1" applyAlignment="1">
      <alignment vertical="center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</cellXfs>
  <cellStyles count="14">
    <cellStyle name="Millares 2" xfId="5"/>
    <cellStyle name="Millares 2 2" xfId="6"/>
    <cellStyle name="Moneda" xfId="1" builtinId="4"/>
    <cellStyle name="Moneda 2" xfId="3"/>
    <cellStyle name="Moneda 3" xfId="7"/>
    <cellStyle name="Normal" xfId="0" builtinId="0"/>
    <cellStyle name="Normal 2" xfId="2"/>
    <cellStyle name="Normal 2 2" xfId="8"/>
    <cellStyle name="Normal 3" xfId="9"/>
    <cellStyle name="Normal 4" xfId="13"/>
    <cellStyle name="pedro" xfId="10"/>
    <cellStyle name="Porcentaje 2" xfId="4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61</xdr:row>
      <xdr:rowOff>161924</xdr:rowOff>
    </xdr:from>
    <xdr:to>
      <xdr:col>2</xdr:col>
      <xdr:colOff>717303</xdr:colOff>
      <xdr:row>68</xdr:row>
      <xdr:rowOff>123825</xdr:rowOff>
    </xdr:to>
    <xdr:sp macro="" textlink="">
      <xdr:nvSpPr>
        <xdr:cNvPr id="16" name="15 CuadroTexto"/>
        <xdr:cNvSpPr txBox="1"/>
      </xdr:nvSpPr>
      <xdr:spPr>
        <a:xfrm>
          <a:off x="1228725" y="6619874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657225</xdr:colOff>
      <xdr:row>62</xdr:row>
      <xdr:rowOff>9523</xdr:rowOff>
    </xdr:from>
    <xdr:to>
      <xdr:col>11</xdr:col>
      <xdr:colOff>28575</xdr:colOff>
      <xdr:row>69</xdr:row>
      <xdr:rowOff>52848</xdr:rowOff>
    </xdr:to>
    <xdr:sp macro="" textlink="">
      <xdr:nvSpPr>
        <xdr:cNvPr id="17" name="16 CuadroTexto"/>
        <xdr:cNvSpPr txBox="1"/>
      </xdr:nvSpPr>
      <xdr:spPr>
        <a:xfrm>
          <a:off x="7143750" y="6629398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647698</xdr:colOff>
      <xdr:row>62</xdr:row>
      <xdr:rowOff>9524</xdr:rowOff>
    </xdr:from>
    <xdr:to>
      <xdr:col>6</xdr:col>
      <xdr:colOff>691654</xdr:colOff>
      <xdr:row>69</xdr:row>
      <xdr:rowOff>52849</xdr:rowOff>
    </xdr:to>
    <xdr:sp macro="" textlink="">
      <xdr:nvSpPr>
        <xdr:cNvPr id="18" name="17 CuadroTexto"/>
        <xdr:cNvSpPr txBox="1"/>
      </xdr:nvSpPr>
      <xdr:spPr>
        <a:xfrm>
          <a:off x="4238623" y="6629399"/>
          <a:ext cx="2225181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1276352</xdr:colOff>
      <xdr:row>0</xdr:row>
      <xdr:rowOff>0</xdr:rowOff>
    </xdr:from>
    <xdr:to>
      <xdr:col>10</xdr:col>
      <xdr:colOff>123825</xdr:colOff>
      <xdr:row>4</xdr:row>
      <xdr:rowOff>88433</xdr:rowOff>
    </xdr:to>
    <xdr:grpSp>
      <xdr:nvGrpSpPr>
        <xdr:cNvPr id="2" name="1 Grupo"/>
        <xdr:cNvGrpSpPr/>
      </xdr:nvGrpSpPr>
      <xdr:grpSpPr>
        <a:xfrm>
          <a:off x="1819277" y="0"/>
          <a:ext cx="6943723" cy="812333"/>
          <a:chOff x="1819277" y="0"/>
          <a:chExt cx="6943723" cy="812333"/>
        </a:xfrm>
      </xdr:grpSpPr>
      <xdr:pic>
        <xdr:nvPicPr>
          <xdr:cNvPr id="8" name="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18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19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0</xdr:row>
      <xdr:rowOff>19050</xdr:rowOff>
    </xdr:from>
    <xdr:to>
      <xdr:col>8</xdr:col>
      <xdr:colOff>476250</xdr:colOff>
      <xdr:row>5</xdr:row>
      <xdr:rowOff>57150</xdr:rowOff>
    </xdr:to>
    <xdr:pic>
      <xdr:nvPicPr>
        <xdr:cNvPr id="6" name="5 Imagen" descr="Captura de pantalla 2016-01-19 a las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9050"/>
          <a:ext cx="5876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1200150</xdr:colOff>
      <xdr:row>60</xdr:row>
      <xdr:rowOff>0</xdr:rowOff>
    </xdr:from>
    <xdr:to>
      <xdr:col>1</xdr:col>
      <xdr:colOff>3508128</xdr:colOff>
      <xdr:row>67</xdr:row>
      <xdr:rowOff>47626</xdr:rowOff>
    </xdr:to>
    <xdr:sp macro="" textlink="">
      <xdr:nvSpPr>
        <xdr:cNvPr id="14" name="13 CuadroTexto"/>
        <xdr:cNvSpPr txBox="1"/>
      </xdr:nvSpPr>
      <xdr:spPr>
        <a:xfrm>
          <a:off x="1743075" y="1050607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685800</xdr:colOff>
      <xdr:row>60</xdr:row>
      <xdr:rowOff>9524</xdr:rowOff>
    </xdr:from>
    <xdr:to>
      <xdr:col>10</xdr:col>
      <xdr:colOff>209550</xdr:colOff>
      <xdr:row>67</xdr:row>
      <xdr:rowOff>129049</xdr:rowOff>
    </xdr:to>
    <xdr:sp macro="" textlink="">
      <xdr:nvSpPr>
        <xdr:cNvPr id="15" name="14 CuadroTexto"/>
        <xdr:cNvSpPr txBox="1"/>
      </xdr:nvSpPr>
      <xdr:spPr>
        <a:xfrm>
          <a:off x="7658100" y="10515599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695323</xdr:colOff>
      <xdr:row>60</xdr:row>
      <xdr:rowOff>9525</xdr:rowOff>
    </xdr:from>
    <xdr:to>
      <xdr:col>6</xdr:col>
      <xdr:colOff>5854</xdr:colOff>
      <xdr:row>67</xdr:row>
      <xdr:rowOff>129050</xdr:rowOff>
    </xdr:to>
    <xdr:sp macro="" textlink="">
      <xdr:nvSpPr>
        <xdr:cNvPr id="16" name="15 CuadroTexto"/>
        <xdr:cNvSpPr txBox="1"/>
      </xdr:nvSpPr>
      <xdr:spPr>
        <a:xfrm>
          <a:off x="4752973" y="10515600"/>
          <a:ext cx="2225181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0</xdr:rowOff>
    </xdr:from>
    <xdr:to>
      <xdr:col>9</xdr:col>
      <xdr:colOff>666748</xdr:colOff>
      <xdr:row>4</xdr:row>
      <xdr:rowOff>88433</xdr:rowOff>
    </xdr:to>
    <xdr:grpSp>
      <xdr:nvGrpSpPr>
        <xdr:cNvPr id="16" name="15 Grupo"/>
        <xdr:cNvGrpSpPr/>
      </xdr:nvGrpSpPr>
      <xdr:grpSpPr>
        <a:xfrm>
          <a:off x="1771396" y="0"/>
          <a:ext cx="7465427" cy="786968"/>
          <a:chOff x="1819277" y="0"/>
          <a:chExt cx="6943723" cy="812333"/>
        </a:xfrm>
      </xdr:grpSpPr>
      <xdr:pic>
        <xdr:nvPicPr>
          <xdr:cNvPr id="17" name="16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1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18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19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571500</xdr:colOff>
      <xdr:row>35</xdr:row>
      <xdr:rowOff>0</xdr:rowOff>
    </xdr:from>
    <xdr:to>
      <xdr:col>2</xdr:col>
      <xdr:colOff>603003</xdr:colOff>
      <xdr:row>42</xdr:row>
      <xdr:rowOff>28576</xdr:rowOff>
    </xdr:to>
    <xdr:sp macro="" textlink="">
      <xdr:nvSpPr>
        <xdr:cNvPr id="21" name="20 CuadroTexto"/>
        <xdr:cNvSpPr txBox="1"/>
      </xdr:nvSpPr>
      <xdr:spPr>
        <a:xfrm>
          <a:off x="1114425" y="641032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542925</xdr:colOff>
      <xdr:row>35</xdr:row>
      <xdr:rowOff>9524</xdr:rowOff>
    </xdr:from>
    <xdr:to>
      <xdr:col>10</xdr:col>
      <xdr:colOff>781050</xdr:colOff>
      <xdr:row>42</xdr:row>
      <xdr:rowOff>109999</xdr:rowOff>
    </xdr:to>
    <xdr:sp macro="" textlink="">
      <xdr:nvSpPr>
        <xdr:cNvPr id="22" name="21 CuadroTexto"/>
        <xdr:cNvSpPr txBox="1"/>
      </xdr:nvSpPr>
      <xdr:spPr>
        <a:xfrm>
          <a:off x="7029450" y="6419849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533398</xdr:colOff>
      <xdr:row>35</xdr:row>
      <xdr:rowOff>9525</xdr:rowOff>
    </xdr:from>
    <xdr:to>
      <xdr:col>6</xdr:col>
      <xdr:colOff>577354</xdr:colOff>
      <xdr:row>42</xdr:row>
      <xdr:rowOff>110000</xdr:rowOff>
    </xdr:to>
    <xdr:sp macro="" textlink="">
      <xdr:nvSpPr>
        <xdr:cNvPr id="23" name="22 CuadroTexto"/>
        <xdr:cNvSpPr txBox="1"/>
      </xdr:nvSpPr>
      <xdr:spPr>
        <a:xfrm>
          <a:off x="4124323" y="6419850"/>
          <a:ext cx="2225181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61</xdr:row>
      <xdr:rowOff>0</xdr:rowOff>
    </xdr:from>
    <xdr:to>
      <xdr:col>1</xdr:col>
      <xdr:colOff>1831728</xdr:colOff>
      <xdr:row>67</xdr:row>
      <xdr:rowOff>142876</xdr:rowOff>
    </xdr:to>
    <xdr:sp macro="" textlink="">
      <xdr:nvSpPr>
        <xdr:cNvPr id="2" name="6 CuadroTexto"/>
        <xdr:cNvSpPr txBox="1"/>
      </xdr:nvSpPr>
      <xdr:spPr>
        <a:xfrm>
          <a:off x="66675" y="11449050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676275</xdr:colOff>
      <xdr:row>61</xdr:row>
      <xdr:rowOff>9524</xdr:rowOff>
    </xdr:from>
    <xdr:to>
      <xdr:col>8</xdr:col>
      <xdr:colOff>771525</xdr:colOff>
      <xdr:row>68</xdr:row>
      <xdr:rowOff>71899</xdr:rowOff>
    </xdr:to>
    <xdr:sp macro="" textlink="">
      <xdr:nvSpPr>
        <xdr:cNvPr id="3" name="7 CuadroTexto"/>
        <xdr:cNvSpPr txBox="1"/>
      </xdr:nvSpPr>
      <xdr:spPr>
        <a:xfrm>
          <a:off x="6105525" y="11458574"/>
          <a:ext cx="2686050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123823</xdr:colOff>
      <xdr:row>61</xdr:row>
      <xdr:rowOff>0</xdr:rowOff>
    </xdr:from>
    <xdr:to>
      <xdr:col>5</xdr:col>
      <xdr:colOff>243979</xdr:colOff>
      <xdr:row>68</xdr:row>
      <xdr:rowOff>62375</xdr:rowOff>
    </xdr:to>
    <xdr:sp macro="" textlink="">
      <xdr:nvSpPr>
        <xdr:cNvPr id="4" name="8 CuadroTexto"/>
        <xdr:cNvSpPr txBox="1"/>
      </xdr:nvSpPr>
      <xdr:spPr>
        <a:xfrm>
          <a:off x="2943223" y="11449050"/>
          <a:ext cx="27300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228600</xdr:colOff>
      <xdr:row>0</xdr:row>
      <xdr:rowOff>114300</xdr:rowOff>
    </xdr:from>
    <xdr:to>
      <xdr:col>8</xdr:col>
      <xdr:colOff>571498</xdr:colOff>
      <xdr:row>4</xdr:row>
      <xdr:rowOff>164633</xdr:rowOff>
    </xdr:to>
    <xdr:grpSp>
      <xdr:nvGrpSpPr>
        <xdr:cNvPr id="5" name="1 Grupo"/>
        <xdr:cNvGrpSpPr/>
      </xdr:nvGrpSpPr>
      <xdr:grpSpPr>
        <a:xfrm>
          <a:off x="828070" y="111252"/>
          <a:ext cx="8403424" cy="783534"/>
          <a:chOff x="1819277" y="0"/>
          <a:chExt cx="6943723" cy="812333"/>
        </a:xfrm>
      </xdr:grpSpPr>
      <xdr:pic>
        <xdr:nvPicPr>
          <xdr:cNvPr id="6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8</xdr:col>
      <xdr:colOff>428623</xdr:colOff>
      <xdr:row>4</xdr:row>
      <xdr:rowOff>126533</xdr:rowOff>
    </xdr:to>
    <xdr:grpSp>
      <xdr:nvGrpSpPr>
        <xdr:cNvPr id="2" name="1 Grupo"/>
        <xdr:cNvGrpSpPr/>
      </xdr:nvGrpSpPr>
      <xdr:grpSpPr>
        <a:xfrm>
          <a:off x="407613" y="36576"/>
          <a:ext cx="8400514" cy="787113"/>
          <a:chOff x="1819277" y="0"/>
          <a:chExt cx="6943723" cy="812333"/>
        </a:xfrm>
      </xdr:grpSpPr>
      <xdr:pic>
        <xdr:nvPicPr>
          <xdr:cNvPr id="3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</xdr:colOff>
      <xdr:row>38</xdr:row>
      <xdr:rowOff>9525</xdr:rowOff>
    </xdr:from>
    <xdr:to>
      <xdr:col>1</xdr:col>
      <xdr:colOff>2069853</xdr:colOff>
      <xdr:row>45</xdr:row>
      <xdr:rowOff>38101</xdr:rowOff>
    </xdr:to>
    <xdr:sp macro="" textlink="">
      <xdr:nvSpPr>
        <xdr:cNvPr id="7" name="6 CuadroTexto"/>
        <xdr:cNvSpPr txBox="1"/>
      </xdr:nvSpPr>
      <xdr:spPr>
        <a:xfrm>
          <a:off x="57150" y="711517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600075</xdr:colOff>
      <xdr:row>38</xdr:row>
      <xdr:rowOff>19049</xdr:rowOff>
    </xdr:from>
    <xdr:to>
      <xdr:col>9</xdr:col>
      <xdr:colOff>838200</xdr:colOff>
      <xdr:row>45</xdr:row>
      <xdr:rowOff>119524</xdr:rowOff>
    </xdr:to>
    <xdr:sp macro="" textlink="">
      <xdr:nvSpPr>
        <xdr:cNvPr id="8" name="7 CuadroTexto"/>
        <xdr:cNvSpPr txBox="1"/>
      </xdr:nvSpPr>
      <xdr:spPr>
        <a:xfrm>
          <a:off x="6705600" y="7124699"/>
          <a:ext cx="2686050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571498</xdr:colOff>
      <xdr:row>38</xdr:row>
      <xdr:rowOff>19050</xdr:rowOff>
    </xdr:from>
    <xdr:to>
      <xdr:col>5</xdr:col>
      <xdr:colOff>691654</xdr:colOff>
      <xdr:row>45</xdr:row>
      <xdr:rowOff>119525</xdr:rowOff>
    </xdr:to>
    <xdr:sp macro="" textlink="">
      <xdr:nvSpPr>
        <xdr:cNvPr id="9" name="8 CuadroTexto"/>
        <xdr:cNvSpPr txBox="1"/>
      </xdr:nvSpPr>
      <xdr:spPr>
        <a:xfrm>
          <a:off x="3143248" y="7124700"/>
          <a:ext cx="2730006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L.A.E. José J. Cortés Skewes</a:t>
          </a:r>
          <a:endParaRPr lang="es-ES" sz="9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02"/>
  <sheetViews>
    <sheetView tabSelected="1" workbookViewId="0">
      <selection activeCell="B7" sqref="B7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1.5703125" style="1" customWidth="1"/>
    <col min="4" max="4" width="11.28515625" style="1" customWidth="1"/>
    <col min="5" max="8" width="10.7109375" style="1" customWidth="1"/>
    <col min="9" max="9" width="10.85546875" style="1" customWidth="1"/>
    <col min="10" max="10" width="10.7109375" style="1" customWidth="1"/>
    <col min="11" max="11" width="13" style="1" customWidth="1"/>
    <col min="12" max="12" width="13.140625" style="1" customWidth="1"/>
    <col min="13" max="16384" width="11.42578125" style="1"/>
  </cols>
  <sheetData>
    <row r="6" spans="1:12" ht="18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2" ht="15" x14ac:dyDescent="0.25">
      <c r="A8" s="78" t="s">
        <v>61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25">
      <c r="A9" s="79" t="s">
        <v>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x14ac:dyDescent="0.25">
      <c r="A10" s="79" t="s">
        <v>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8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8.2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25">
      <c r="A13" s="24" t="s">
        <v>33</v>
      </c>
      <c r="B13" s="23" t="s">
        <v>38</v>
      </c>
      <c r="C13" s="24" t="s">
        <v>34</v>
      </c>
      <c r="D13" s="23" t="s">
        <v>36</v>
      </c>
      <c r="E13" s="29"/>
      <c r="F13" s="29"/>
      <c r="G13" s="24" t="s">
        <v>35</v>
      </c>
      <c r="H13" s="23" t="s">
        <v>37</v>
      </c>
      <c r="I13" s="29"/>
      <c r="J13" s="29"/>
      <c r="K13" s="29"/>
      <c r="L13" s="29"/>
    </row>
    <row r="14" spans="1:12" s="23" customFormat="1" ht="12.75" x14ac:dyDescent="0.25">
      <c r="A14" s="23" t="s">
        <v>49</v>
      </c>
    </row>
    <row r="15" spans="1:12" s="23" customFormat="1" ht="12.75" x14ac:dyDescent="0.25"/>
    <row r="16" spans="1:12" s="2" customFormat="1" ht="16.5" customHeight="1" x14ac:dyDescent="0.25">
      <c r="A16" s="80" t="s">
        <v>3</v>
      </c>
      <c r="B16" s="81"/>
      <c r="C16" s="86" t="s">
        <v>47</v>
      </c>
      <c r="D16" s="86"/>
      <c r="E16" s="86"/>
      <c r="F16" s="86"/>
      <c r="G16" s="87" t="s">
        <v>5</v>
      </c>
      <c r="H16" s="86" t="s">
        <v>2</v>
      </c>
      <c r="I16" s="73" t="s">
        <v>64</v>
      </c>
      <c r="J16" s="86" t="s">
        <v>6</v>
      </c>
      <c r="K16" s="71" t="s">
        <v>7</v>
      </c>
      <c r="L16" s="72" t="s">
        <v>8</v>
      </c>
    </row>
    <row r="17" spans="1:14" s="2" customFormat="1" ht="17.25" customHeight="1" x14ac:dyDescent="0.25">
      <c r="A17" s="82"/>
      <c r="B17" s="83"/>
      <c r="C17" s="73" t="s">
        <v>4</v>
      </c>
      <c r="D17" s="73" t="s">
        <v>62</v>
      </c>
      <c r="E17" s="73" t="s">
        <v>63</v>
      </c>
      <c r="F17" s="75" t="s">
        <v>1</v>
      </c>
      <c r="G17" s="87"/>
      <c r="H17" s="86"/>
      <c r="I17" s="88"/>
      <c r="J17" s="86"/>
      <c r="K17" s="71"/>
      <c r="L17" s="72"/>
    </row>
    <row r="18" spans="1:14" s="2" customFormat="1" ht="17.25" customHeight="1" x14ac:dyDescent="0.25">
      <c r="A18" s="84"/>
      <c r="B18" s="85"/>
      <c r="C18" s="74"/>
      <c r="D18" s="74"/>
      <c r="E18" s="74"/>
      <c r="F18" s="76"/>
      <c r="G18" s="87"/>
      <c r="H18" s="86"/>
      <c r="I18" s="74"/>
      <c r="J18" s="86"/>
      <c r="K18" s="71"/>
      <c r="L18" s="72"/>
    </row>
    <row r="19" spans="1:14" s="3" customFormat="1" ht="14.25" hidden="1" customHeight="1" x14ac:dyDescent="0.25">
      <c r="A19" s="31">
        <v>1100</v>
      </c>
      <c r="B19" s="32" t="s">
        <v>15</v>
      </c>
      <c r="C19" s="33">
        <v>66302760</v>
      </c>
      <c r="D19" s="33">
        <v>0</v>
      </c>
      <c r="E19" s="33">
        <v>0</v>
      </c>
      <c r="F19" s="34">
        <f>C19+D19-E19</f>
        <v>66302760</v>
      </c>
      <c r="G19" s="34">
        <v>0</v>
      </c>
      <c r="H19" s="33">
        <v>28566891.98</v>
      </c>
      <c r="I19" s="33">
        <f>H19</f>
        <v>28566891.98</v>
      </c>
      <c r="J19" s="33">
        <f>I19</f>
        <v>28566891.98</v>
      </c>
      <c r="K19" s="34">
        <v>0</v>
      </c>
      <c r="L19" s="34">
        <f>F19-H19</f>
        <v>37735868.019999996</v>
      </c>
    </row>
    <row r="20" spans="1:14" s="3" customFormat="1" ht="12.75" hidden="1" customHeight="1" x14ac:dyDescent="0.25">
      <c r="A20" s="31">
        <v>1300</v>
      </c>
      <c r="B20" s="32" t="s">
        <v>16</v>
      </c>
      <c r="C20" s="33">
        <v>16650312</v>
      </c>
      <c r="D20" s="33">
        <v>0</v>
      </c>
      <c r="E20" s="33">
        <v>0</v>
      </c>
      <c r="F20" s="34">
        <f t="shared" ref="F20:F23" si="0">C20+D20-E20</f>
        <v>16650312</v>
      </c>
      <c r="G20" s="34">
        <v>0</v>
      </c>
      <c r="H20" s="33">
        <v>7046966.9900000002</v>
      </c>
      <c r="I20" s="33">
        <f>H20</f>
        <v>7046966.9900000002</v>
      </c>
      <c r="J20" s="33">
        <f>I20-2458220.22-1586107.48-803667.51</f>
        <v>2198971.7799999993</v>
      </c>
      <c r="K20" s="34">
        <v>0</v>
      </c>
      <c r="L20" s="34">
        <f t="shared" ref="L20:L23" si="1">F20-H20</f>
        <v>9603345.0099999998</v>
      </c>
    </row>
    <row r="21" spans="1:14" s="3" customFormat="1" ht="12.75" hidden="1" customHeight="1" x14ac:dyDescent="0.25">
      <c r="A21" s="31">
        <v>1400</v>
      </c>
      <c r="B21" s="32" t="s">
        <v>17</v>
      </c>
      <c r="C21" s="33">
        <v>12410150</v>
      </c>
      <c r="D21" s="33">
        <v>0</v>
      </c>
      <c r="E21" s="33">
        <v>0</v>
      </c>
      <c r="F21" s="34">
        <f t="shared" si="0"/>
        <v>12410150</v>
      </c>
      <c r="G21" s="34">
        <v>0</v>
      </c>
      <c r="H21" s="33">
        <v>5300601.3499999996</v>
      </c>
      <c r="I21" s="33">
        <f>H21</f>
        <v>5300601.3499999996</v>
      </c>
      <c r="J21" s="33">
        <f>I21-209906.01-259320.35-163664.17-406997.52</f>
        <v>4260713.3000000007</v>
      </c>
      <c r="K21" s="34">
        <v>0</v>
      </c>
      <c r="L21" s="34">
        <f t="shared" si="1"/>
        <v>7109548.6500000004</v>
      </c>
    </row>
    <row r="22" spans="1:14" s="3" customFormat="1" ht="12.75" hidden="1" x14ac:dyDescent="0.25">
      <c r="A22" s="31">
        <v>1500</v>
      </c>
      <c r="B22" s="32" t="s">
        <v>18</v>
      </c>
      <c r="C22" s="33">
        <v>3672138</v>
      </c>
      <c r="D22" s="33">
        <v>0</v>
      </c>
      <c r="E22" s="33">
        <v>0</v>
      </c>
      <c r="F22" s="34">
        <f t="shared" si="0"/>
        <v>3672138</v>
      </c>
      <c r="G22" s="34">
        <v>0</v>
      </c>
      <c r="H22" s="33">
        <v>1200655.32</v>
      </c>
      <c r="I22" s="33">
        <f>H22</f>
        <v>1200655.32</v>
      </c>
      <c r="J22" s="33">
        <f t="shared" ref="J22" si="2">I22</f>
        <v>1200655.32</v>
      </c>
      <c r="K22" s="34">
        <v>0</v>
      </c>
      <c r="L22" s="34">
        <f t="shared" si="1"/>
        <v>2471482.6799999997</v>
      </c>
    </row>
    <row r="23" spans="1:14" s="3" customFormat="1" ht="12.75" hidden="1" x14ac:dyDescent="0.25">
      <c r="A23" s="31">
        <v>1700</v>
      </c>
      <c r="B23" s="32" t="s">
        <v>46</v>
      </c>
      <c r="C23" s="33">
        <v>700000</v>
      </c>
      <c r="D23" s="33">
        <v>0</v>
      </c>
      <c r="E23" s="33">
        <v>0</v>
      </c>
      <c r="F23" s="34">
        <f t="shared" si="0"/>
        <v>700000</v>
      </c>
      <c r="G23" s="34">
        <v>0</v>
      </c>
      <c r="H23" s="33">
        <v>0</v>
      </c>
      <c r="I23" s="33">
        <f>H23</f>
        <v>0</v>
      </c>
      <c r="J23" s="33">
        <v>0</v>
      </c>
      <c r="K23" s="34">
        <v>0</v>
      </c>
      <c r="L23" s="34">
        <f t="shared" si="1"/>
        <v>700000</v>
      </c>
    </row>
    <row r="24" spans="1:14" s="3" customFormat="1" ht="22.5" customHeight="1" x14ac:dyDescent="0.25">
      <c r="A24" s="35" t="s">
        <v>12</v>
      </c>
      <c r="B24" s="36"/>
      <c r="C24" s="37">
        <f>'x objeto del gasto'!C25</f>
        <v>94472354.599999994</v>
      </c>
      <c r="D24" s="37">
        <f>'x objeto del gasto'!D25</f>
        <v>0</v>
      </c>
      <c r="E24" s="37">
        <f>'x objeto del gasto'!E25</f>
        <v>0</v>
      </c>
      <c r="F24" s="37">
        <f>'x objeto del gasto'!F25</f>
        <v>94472354.599999994</v>
      </c>
      <c r="G24" s="37">
        <f>'x objeto del gasto'!G25</f>
        <v>22347615.360000003</v>
      </c>
      <c r="H24" s="37">
        <f>'x objeto del gasto'!H25</f>
        <v>22347615.360000003</v>
      </c>
      <c r="I24" s="37">
        <f>'x objeto del gasto'!I25</f>
        <v>22347615.360000003</v>
      </c>
      <c r="J24" s="37">
        <f>'x objeto del gasto'!J25</f>
        <v>22347615.360000003</v>
      </c>
      <c r="K24" s="37">
        <f>F24-G24</f>
        <v>72124739.239999995</v>
      </c>
      <c r="L24" s="37">
        <f>F24-H24</f>
        <v>72124739.239999995</v>
      </c>
      <c r="N24" s="27"/>
    </row>
    <row r="25" spans="1:14" s="3" customFormat="1" ht="13.5" hidden="1" customHeight="1" x14ac:dyDescent="0.25">
      <c r="A25" s="38">
        <v>2100</v>
      </c>
      <c r="B25" s="39" t="s">
        <v>19</v>
      </c>
      <c r="C25" s="37">
        <v>1815748</v>
      </c>
      <c r="D25" s="37">
        <v>0</v>
      </c>
      <c r="E25" s="37">
        <v>0</v>
      </c>
      <c r="F25" s="40">
        <f t="shared" ref="F25:F31" si="3">C25+D25-E25</f>
        <v>1815748</v>
      </c>
      <c r="G25" s="40">
        <v>0</v>
      </c>
      <c r="H25" s="37">
        <v>2975095.12</v>
      </c>
      <c r="I25" s="37">
        <f t="shared" ref="I25:J31" si="4">H25</f>
        <v>2975095.12</v>
      </c>
      <c r="J25" s="37">
        <f t="shared" si="4"/>
        <v>2975095.12</v>
      </c>
      <c r="K25" s="37">
        <f t="shared" ref="K25:K49" si="5">F25-G25</f>
        <v>1815748</v>
      </c>
      <c r="L25" s="37">
        <f t="shared" ref="L25:L49" si="6">F25-H25</f>
        <v>-1159347.1200000001</v>
      </c>
      <c r="M25" s="4"/>
    </row>
    <row r="26" spans="1:14" s="3" customFormat="1" ht="14.25" hidden="1" customHeight="1" x14ac:dyDescent="0.25">
      <c r="A26" s="38">
        <v>2200</v>
      </c>
      <c r="B26" s="39" t="s">
        <v>20</v>
      </c>
      <c r="C26" s="37">
        <v>671312</v>
      </c>
      <c r="D26" s="37">
        <v>0</v>
      </c>
      <c r="E26" s="37">
        <v>0</v>
      </c>
      <c r="F26" s="40">
        <f t="shared" si="3"/>
        <v>671312</v>
      </c>
      <c r="G26" s="40">
        <v>0</v>
      </c>
      <c r="H26" s="37">
        <v>13309976.460000001</v>
      </c>
      <c r="I26" s="37">
        <f t="shared" si="4"/>
        <v>13309976.460000001</v>
      </c>
      <c r="J26" s="37">
        <f t="shared" si="4"/>
        <v>13309976.460000001</v>
      </c>
      <c r="K26" s="37">
        <f t="shared" si="5"/>
        <v>671312</v>
      </c>
      <c r="L26" s="37">
        <f t="shared" si="6"/>
        <v>-12638664.460000001</v>
      </c>
      <c r="M26" s="4"/>
      <c r="N26" s="4"/>
    </row>
    <row r="27" spans="1:14" s="3" customFormat="1" ht="14.25" hidden="1" customHeight="1" x14ac:dyDescent="0.25">
      <c r="A27" s="38">
        <v>2400</v>
      </c>
      <c r="B27" s="39" t="s">
        <v>21</v>
      </c>
      <c r="C27" s="37">
        <v>902962</v>
      </c>
      <c r="D27" s="37">
        <v>0</v>
      </c>
      <c r="E27" s="37">
        <v>0</v>
      </c>
      <c r="F27" s="40">
        <f t="shared" si="3"/>
        <v>902962</v>
      </c>
      <c r="G27" s="40">
        <v>0</v>
      </c>
      <c r="H27" s="37">
        <v>133140</v>
      </c>
      <c r="I27" s="37">
        <f t="shared" si="4"/>
        <v>133140</v>
      </c>
      <c r="J27" s="37">
        <f t="shared" si="4"/>
        <v>133140</v>
      </c>
      <c r="K27" s="37">
        <f t="shared" si="5"/>
        <v>902962</v>
      </c>
      <c r="L27" s="37">
        <f t="shared" si="6"/>
        <v>769822</v>
      </c>
      <c r="M27" s="4"/>
    </row>
    <row r="28" spans="1:14" s="3" customFormat="1" ht="21" hidden="1" customHeight="1" x14ac:dyDescent="0.25">
      <c r="A28" s="38">
        <v>2500</v>
      </c>
      <c r="B28" s="41" t="s">
        <v>23</v>
      </c>
      <c r="C28" s="37">
        <v>54370</v>
      </c>
      <c r="D28" s="37">
        <v>0</v>
      </c>
      <c r="E28" s="37">
        <v>0</v>
      </c>
      <c r="F28" s="40">
        <f t="shared" si="3"/>
        <v>54370</v>
      </c>
      <c r="G28" s="40">
        <v>0</v>
      </c>
      <c r="H28" s="37">
        <v>80268.820000000007</v>
      </c>
      <c r="I28" s="37">
        <f t="shared" si="4"/>
        <v>80268.820000000007</v>
      </c>
      <c r="J28" s="37">
        <f t="shared" si="4"/>
        <v>80268.820000000007</v>
      </c>
      <c r="K28" s="37">
        <f t="shared" si="5"/>
        <v>54370</v>
      </c>
      <c r="L28" s="37">
        <f t="shared" si="6"/>
        <v>-25898.820000000007</v>
      </c>
      <c r="M28" s="4"/>
    </row>
    <row r="29" spans="1:14" s="3" customFormat="1" ht="12" hidden="1" x14ac:dyDescent="0.25">
      <c r="A29" s="38">
        <v>2600</v>
      </c>
      <c r="B29" s="39" t="s">
        <v>11</v>
      </c>
      <c r="C29" s="37">
        <v>1153928</v>
      </c>
      <c r="D29" s="37">
        <v>0</v>
      </c>
      <c r="E29" s="37">
        <v>0</v>
      </c>
      <c r="F29" s="40">
        <f t="shared" si="3"/>
        <v>1153928</v>
      </c>
      <c r="G29" s="40">
        <v>0</v>
      </c>
      <c r="H29" s="37">
        <v>534731.37</v>
      </c>
      <c r="I29" s="37">
        <f t="shared" si="4"/>
        <v>534731.37</v>
      </c>
      <c r="J29" s="37">
        <f t="shared" si="4"/>
        <v>534731.37</v>
      </c>
      <c r="K29" s="37">
        <f t="shared" si="5"/>
        <v>1153928</v>
      </c>
      <c r="L29" s="37">
        <f t="shared" si="6"/>
        <v>619196.63</v>
      </c>
      <c r="M29" s="4"/>
    </row>
    <row r="30" spans="1:14" s="3" customFormat="1" ht="24" hidden="1" x14ac:dyDescent="0.25">
      <c r="A30" s="38">
        <v>2700</v>
      </c>
      <c r="B30" s="41" t="s">
        <v>22</v>
      </c>
      <c r="C30" s="37">
        <v>152115</v>
      </c>
      <c r="D30" s="37">
        <v>0</v>
      </c>
      <c r="E30" s="37">
        <v>0</v>
      </c>
      <c r="F30" s="40">
        <f t="shared" si="3"/>
        <v>152115</v>
      </c>
      <c r="G30" s="40">
        <v>0</v>
      </c>
      <c r="H30" s="37">
        <v>30573.14</v>
      </c>
      <c r="I30" s="37">
        <f t="shared" si="4"/>
        <v>30573.14</v>
      </c>
      <c r="J30" s="37">
        <f t="shared" si="4"/>
        <v>30573.14</v>
      </c>
      <c r="K30" s="37">
        <f t="shared" si="5"/>
        <v>152115</v>
      </c>
      <c r="L30" s="37">
        <f t="shared" si="6"/>
        <v>121541.86</v>
      </c>
      <c r="M30" s="4"/>
    </row>
    <row r="31" spans="1:14" s="3" customFormat="1" ht="12" hidden="1" x14ac:dyDescent="0.25">
      <c r="A31" s="38">
        <v>2900</v>
      </c>
      <c r="B31" s="41" t="s">
        <v>40</v>
      </c>
      <c r="C31" s="37">
        <v>683085</v>
      </c>
      <c r="D31" s="37">
        <v>0</v>
      </c>
      <c r="E31" s="37">
        <v>0</v>
      </c>
      <c r="F31" s="40">
        <f t="shared" si="3"/>
        <v>683085</v>
      </c>
      <c r="G31" s="40">
        <v>0</v>
      </c>
      <c r="H31" s="37">
        <v>252184.01</v>
      </c>
      <c r="I31" s="37">
        <f t="shared" si="4"/>
        <v>252184.01</v>
      </c>
      <c r="J31" s="37">
        <f t="shared" si="4"/>
        <v>252184.01</v>
      </c>
      <c r="K31" s="37">
        <f t="shared" si="5"/>
        <v>683085</v>
      </c>
      <c r="L31" s="37">
        <f t="shared" si="6"/>
        <v>430900.99</v>
      </c>
      <c r="M31" s="4"/>
    </row>
    <row r="32" spans="1:14" s="3" customFormat="1" ht="21.75" customHeight="1" x14ac:dyDescent="0.25">
      <c r="A32" s="35" t="s">
        <v>13</v>
      </c>
      <c r="B32" s="36"/>
      <c r="C32" s="37">
        <f>'x objeto del gasto'!C33</f>
        <v>4554089.6399999997</v>
      </c>
      <c r="D32" s="37">
        <f>'x objeto del gasto'!D33</f>
        <v>0</v>
      </c>
      <c r="E32" s="37">
        <f>'x objeto del gasto'!E33</f>
        <v>0</v>
      </c>
      <c r="F32" s="37">
        <f>'x objeto del gasto'!F33</f>
        <v>4554089.6399999997</v>
      </c>
      <c r="G32" s="37">
        <f>'x objeto del gasto'!G33</f>
        <v>371323.56</v>
      </c>
      <c r="H32" s="37">
        <f>'x objeto del gasto'!H33</f>
        <v>371323.56</v>
      </c>
      <c r="I32" s="37">
        <f>'x objeto del gasto'!I33</f>
        <v>371323.56</v>
      </c>
      <c r="J32" s="37">
        <f>'x objeto del gasto'!J33</f>
        <v>371323.56</v>
      </c>
      <c r="K32" s="37">
        <f t="shared" si="5"/>
        <v>4182766.0799999996</v>
      </c>
      <c r="L32" s="37">
        <f t="shared" si="6"/>
        <v>4182766.0799999996</v>
      </c>
      <c r="M32" s="4"/>
      <c r="N32" s="27"/>
    </row>
    <row r="33" spans="1:14" s="3" customFormat="1" ht="14.25" hidden="1" customHeight="1" x14ac:dyDescent="0.25">
      <c r="A33" s="38">
        <v>3100</v>
      </c>
      <c r="B33" s="39" t="s">
        <v>24</v>
      </c>
      <c r="C33" s="37">
        <v>3527512</v>
      </c>
      <c r="D33" s="37">
        <v>0</v>
      </c>
      <c r="E33" s="37">
        <v>0</v>
      </c>
      <c r="F33" s="40">
        <f t="shared" ref="F33:F43" si="7">C33+D33-E33</f>
        <v>3527512</v>
      </c>
      <c r="G33" s="37">
        <v>0</v>
      </c>
      <c r="H33" s="37">
        <v>1735779.89</v>
      </c>
      <c r="I33" s="37">
        <f t="shared" ref="I33:J41" si="8">H33</f>
        <v>1735779.89</v>
      </c>
      <c r="J33" s="37">
        <f>I33-120055-43301-46274.47</f>
        <v>1526149.42</v>
      </c>
      <c r="K33" s="37">
        <f t="shared" si="5"/>
        <v>3527512</v>
      </c>
      <c r="L33" s="37">
        <f t="shared" si="6"/>
        <v>1791732.11</v>
      </c>
      <c r="M33" s="4"/>
    </row>
    <row r="34" spans="1:14" s="3" customFormat="1" ht="14.25" hidden="1" customHeight="1" x14ac:dyDescent="0.25">
      <c r="A34" s="38">
        <v>3200</v>
      </c>
      <c r="B34" s="39" t="s">
        <v>25</v>
      </c>
      <c r="C34" s="37">
        <v>825307</v>
      </c>
      <c r="D34" s="37">
        <v>0</v>
      </c>
      <c r="E34" s="37">
        <v>0</v>
      </c>
      <c r="F34" s="40">
        <f t="shared" si="7"/>
        <v>825307</v>
      </c>
      <c r="G34" s="37">
        <v>0</v>
      </c>
      <c r="H34" s="37">
        <v>508226.72</v>
      </c>
      <c r="I34" s="37">
        <f t="shared" si="8"/>
        <v>508226.72</v>
      </c>
      <c r="J34" s="37">
        <f t="shared" si="8"/>
        <v>508226.72</v>
      </c>
      <c r="K34" s="37">
        <f t="shared" si="5"/>
        <v>825307</v>
      </c>
      <c r="L34" s="37">
        <f t="shared" si="6"/>
        <v>317080.28000000003</v>
      </c>
      <c r="M34" s="4"/>
    </row>
    <row r="35" spans="1:14" s="3" customFormat="1" ht="24" hidden="1" x14ac:dyDescent="0.25">
      <c r="A35" s="38">
        <v>3300</v>
      </c>
      <c r="B35" s="41" t="s">
        <v>26</v>
      </c>
      <c r="C35" s="37">
        <v>5737277</v>
      </c>
      <c r="D35" s="37">
        <v>0</v>
      </c>
      <c r="E35" s="37">
        <v>0</v>
      </c>
      <c r="F35" s="40">
        <f t="shared" si="7"/>
        <v>5737277</v>
      </c>
      <c r="G35" s="37">
        <v>0</v>
      </c>
      <c r="H35" s="37">
        <v>2245099.5099999998</v>
      </c>
      <c r="I35" s="37">
        <f t="shared" si="8"/>
        <v>2245099.5099999998</v>
      </c>
      <c r="J35" s="37">
        <f>I35-156579.87</f>
        <v>2088519.6399999997</v>
      </c>
      <c r="K35" s="37">
        <f t="shared" si="5"/>
        <v>5737277</v>
      </c>
      <c r="L35" s="37">
        <f t="shared" si="6"/>
        <v>3492177.49</v>
      </c>
      <c r="M35" s="4"/>
    </row>
    <row r="36" spans="1:14" s="3" customFormat="1" ht="36" hidden="1" x14ac:dyDescent="0.25">
      <c r="A36" s="38">
        <v>3400</v>
      </c>
      <c r="B36" s="41" t="s">
        <v>27</v>
      </c>
      <c r="C36" s="37">
        <v>778000</v>
      </c>
      <c r="D36" s="37">
        <v>0</v>
      </c>
      <c r="E36" s="37">
        <v>0</v>
      </c>
      <c r="F36" s="40">
        <f t="shared" si="7"/>
        <v>778000</v>
      </c>
      <c r="G36" s="37">
        <v>0</v>
      </c>
      <c r="H36" s="37">
        <v>301598.62</v>
      </c>
      <c r="I36" s="37">
        <f t="shared" si="8"/>
        <v>301598.62</v>
      </c>
      <c r="J36" s="37">
        <f t="shared" si="8"/>
        <v>301598.62</v>
      </c>
      <c r="K36" s="37">
        <f t="shared" si="5"/>
        <v>778000</v>
      </c>
      <c r="L36" s="37">
        <f t="shared" si="6"/>
        <v>476401.38</v>
      </c>
      <c r="M36" s="4"/>
    </row>
    <row r="37" spans="1:14" s="3" customFormat="1" ht="12" hidden="1" x14ac:dyDescent="0.25">
      <c r="A37" s="38">
        <v>3500</v>
      </c>
      <c r="B37" s="39" t="s">
        <v>28</v>
      </c>
      <c r="C37" s="37">
        <v>3344787</v>
      </c>
      <c r="D37" s="37">
        <v>0</v>
      </c>
      <c r="E37" s="37">
        <v>0</v>
      </c>
      <c r="F37" s="40">
        <f t="shared" si="7"/>
        <v>3344787</v>
      </c>
      <c r="G37" s="37">
        <v>0</v>
      </c>
      <c r="H37" s="37">
        <v>1224119.9099999999</v>
      </c>
      <c r="I37" s="37">
        <f t="shared" si="8"/>
        <v>1224119.9099999999</v>
      </c>
      <c r="J37" s="37">
        <f>I37-174670.74</f>
        <v>1049449.17</v>
      </c>
      <c r="K37" s="37">
        <f t="shared" si="5"/>
        <v>3344787</v>
      </c>
      <c r="L37" s="37">
        <f t="shared" si="6"/>
        <v>2120667.09</v>
      </c>
      <c r="M37" s="4"/>
    </row>
    <row r="38" spans="1:14" s="3" customFormat="1" ht="24" hidden="1" x14ac:dyDescent="0.25">
      <c r="A38" s="38">
        <v>3600</v>
      </c>
      <c r="B38" s="42" t="s">
        <v>29</v>
      </c>
      <c r="C38" s="37">
        <v>706190</v>
      </c>
      <c r="D38" s="37">
        <v>0</v>
      </c>
      <c r="E38" s="37">
        <v>0</v>
      </c>
      <c r="F38" s="40">
        <f t="shared" si="7"/>
        <v>706190</v>
      </c>
      <c r="G38" s="37">
        <v>0</v>
      </c>
      <c r="H38" s="37">
        <v>245021.91</v>
      </c>
      <c r="I38" s="37">
        <f t="shared" si="8"/>
        <v>245021.91</v>
      </c>
      <c r="J38" s="37">
        <f t="shared" si="8"/>
        <v>245021.91</v>
      </c>
      <c r="K38" s="37">
        <f t="shared" si="5"/>
        <v>706190</v>
      </c>
      <c r="L38" s="37">
        <f t="shared" si="6"/>
        <v>461168.08999999997</v>
      </c>
      <c r="M38" s="4"/>
    </row>
    <row r="39" spans="1:14" s="3" customFormat="1" ht="13.5" hidden="1" customHeight="1" x14ac:dyDescent="0.25">
      <c r="A39" s="38">
        <v>3700</v>
      </c>
      <c r="B39" s="39" t="s">
        <v>30</v>
      </c>
      <c r="C39" s="37">
        <v>1709437</v>
      </c>
      <c r="D39" s="37">
        <v>0</v>
      </c>
      <c r="E39" s="37">
        <v>0</v>
      </c>
      <c r="F39" s="40">
        <f t="shared" si="7"/>
        <v>1709437</v>
      </c>
      <c r="G39" s="37">
        <v>0</v>
      </c>
      <c r="H39" s="37">
        <v>434641.99</v>
      </c>
      <c r="I39" s="37">
        <f t="shared" si="8"/>
        <v>434641.99</v>
      </c>
      <c r="J39" s="37">
        <f t="shared" si="8"/>
        <v>434641.99</v>
      </c>
      <c r="K39" s="37">
        <f t="shared" si="5"/>
        <v>1709437</v>
      </c>
      <c r="L39" s="37">
        <f t="shared" si="6"/>
        <v>1274795.01</v>
      </c>
      <c r="M39" s="4"/>
    </row>
    <row r="40" spans="1:14" s="3" customFormat="1" ht="12.75" hidden="1" customHeight="1" x14ac:dyDescent="0.25">
      <c r="A40" s="38">
        <v>3800</v>
      </c>
      <c r="B40" s="39" t="s">
        <v>31</v>
      </c>
      <c r="C40" s="37">
        <v>533634</v>
      </c>
      <c r="D40" s="37">
        <v>0</v>
      </c>
      <c r="E40" s="37">
        <v>0</v>
      </c>
      <c r="F40" s="40">
        <f t="shared" si="7"/>
        <v>533634</v>
      </c>
      <c r="G40" s="37">
        <v>0</v>
      </c>
      <c r="H40" s="37">
        <v>536602.92000000004</v>
      </c>
      <c r="I40" s="37">
        <f t="shared" si="8"/>
        <v>536602.92000000004</v>
      </c>
      <c r="J40" s="37">
        <f t="shared" si="8"/>
        <v>536602.92000000004</v>
      </c>
      <c r="K40" s="37">
        <f t="shared" si="5"/>
        <v>533634</v>
      </c>
      <c r="L40" s="37">
        <f t="shared" si="6"/>
        <v>-2968.9200000000419</v>
      </c>
      <c r="M40" s="4"/>
    </row>
    <row r="41" spans="1:14" s="3" customFormat="1" ht="1.5" hidden="1" customHeight="1" x14ac:dyDescent="0.25">
      <c r="A41" s="38">
        <v>3900</v>
      </c>
      <c r="B41" s="39" t="s">
        <v>39</v>
      </c>
      <c r="C41" s="37">
        <v>4467087</v>
      </c>
      <c r="D41" s="37">
        <v>0</v>
      </c>
      <c r="E41" s="37">
        <v>0</v>
      </c>
      <c r="F41" s="40">
        <f t="shared" si="7"/>
        <v>4467087</v>
      </c>
      <c r="G41" s="40">
        <v>0</v>
      </c>
      <c r="H41" s="37">
        <v>1865184.57</v>
      </c>
      <c r="I41" s="37">
        <f t="shared" si="8"/>
        <v>1865184.57</v>
      </c>
      <c r="J41" s="37">
        <f>I41-113950</f>
        <v>1751234.57</v>
      </c>
      <c r="K41" s="37">
        <f t="shared" si="5"/>
        <v>4467087</v>
      </c>
      <c r="L41" s="37">
        <f t="shared" si="6"/>
        <v>2601902.4299999997</v>
      </c>
      <c r="M41" s="4"/>
    </row>
    <row r="42" spans="1:14" s="3" customFormat="1" ht="22.5" customHeight="1" x14ac:dyDescent="0.25">
      <c r="A42" s="43" t="s">
        <v>10</v>
      </c>
      <c r="B42" s="38"/>
      <c r="C42" s="37">
        <f>'x objeto del gasto'!C43</f>
        <v>22065896.940000001</v>
      </c>
      <c r="D42" s="37">
        <f>'x objeto del gasto'!D43</f>
        <v>0</v>
      </c>
      <c r="E42" s="37">
        <f>'x objeto del gasto'!E43</f>
        <v>0</v>
      </c>
      <c r="F42" s="37">
        <f>'x objeto del gasto'!F43</f>
        <v>22065896.940000001</v>
      </c>
      <c r="G42" s="37">
        <f>'x objeto del gasto'!G43</f>
        <v>3155397.3800000004</v>
      </c>
      <c r="H42" s="37">
        <f>'x objeto del gasto'!H43</f>
        <v>2327840.67</v>
      </c>
      <c r="I42" s="37">
        <f>'x objeto del gasto'!I43</f>
        <v>1565806.94</v>
      </c>
      <c r="J42" s="37">
        <f>'x objeto del gasto'!J43</f>
        <v>1477116.94</v>
      </c>
      <c r="K42" s="37">
        <f t="shared" si="5"/>
        <v>18910499.560000002</v>
      </c>
      <c r="L42" s="37">
        <f t="shared" si="6"/>
        <v>19738056.270000003</v>
      </c>
      <c r="M42" s="4"/>
      <c r="N42" s="27"/>
    </row>
    <row r="43" spans="1:14" s="3" customFormat="1" ht="13.5" hidden="1" customHeight="1" x14ac:dyDescent="0.25">
      <c r="A43" s="38">
        <v>4300</v>
      </c>
      <c r="B43" s="39" t="s">
        <v>45</v>
      </c>
      <c r="C43" s="37">
        <v>209999</v>
      </c>
      <c r="D43" s="37">
        <v>0</v>
      </c>
      <c r="E43" s="37">
        <v>0</v>
      </c>
      <c r="F43" s="40">
        <f t="shared" si="7"/>
        <v>209999</v>
      </c>
      <c r="G43" s="37">
        <v>0</v>
      </c>
      <c r="H43" s="37">
        <v>79240</v>
      </c>
      <c r="I43" s="37">
        <f>H43</f>
        <v>79240</v>
      </c>
      <c r="J43" s="37">
        <f>I43</f>
        <v>79240</v>
      </c>
      <c r="K43" s="37">
        <f t="shared" si="5"/>
        <v>209999</v>
      </c>
      <c r="L43" s="37">
        <f t="shared" si="6"/>
        <v>130759</v>
      </c>
    </row>
    <row r="44" spans="1:14" s="3" customFormat="1" ht="23.25" customHeight="1" x14ac:dyDescent="0.25">
      <c r="A44" s="43" t="s">
        <v>44</v>
      </c>
      <c r="B44" s="44"/>
      <c r="C44" s="37">
        <f>'x objeto del gasto'!C45</f>
        <v>234950</v>
      </c>
      <c r="D44" s="37">
        <f>'x objeto del gasto'!D45</f>
        <v>0</v>
      </c>
      <c r="E44" s="37">
        <f>'x objeto del gasto'!E45</f>
        <v>0</v>
      </c>
      <c r="F44" s="37">
        <f>'x objeto del gasto'!F45</f>
        <v>234950</v>
      </c>
      <c r="G44" s="37">
        <f>'x objeto del gasto'!G45</f>
        <v>10795</v>
      </c>
      <c r="H44" s="37">
        <f>'x objeto del gasto'!H45</f>
        <v>10795</v>
      </c>
      <c r="I44" s="37">
        <f>'x objeto del gasto'!I45</f>
        <v>10795</v>
      </c>
      <c r="J44" s="37">
        <f>'x objeto del gasto'!J45</f>
        <v>10795</v>
      </c>
      <c r="K44" s="37">
        <f t="shared" si="5"/>
        <v>224155</v>
      </c>
      <c r="L44" s="37">
        <f t="shared" si="6"/>
        <v>224155</v>
      </c>
      <c r="M44" s="4"/>
      <c r="N44" s="27"/>
    </row>
    <row r="45" spans="1:14" s="3" customFormat="1" ht="12" hidden="1" x14ac:dyDescent="0.25">
      <c r="A45" s="38">
        <v>5100</v>
      </c>
      <c r="B45" s="42" t="s">
        <v>32</v>
      </c>
      <c r="C45" s="37">
        <v>2144800</v>
      </c>
      <c r="D45" s="37">
        <v>0</v>
      </c>
      <c r="E45" s="37">
        <v>0</v>
      </c>
      <c r="F45" s="40">
        <f t="shared" ref="F45:F48" si="9">C45+D45-E45</f>
        <v>2144800</v>
      </c>
      <c r="G45" s="37">
        <v>0</v>
      </c>
      <c r="H45" s="37">
        <f>40000+25337.64</f>
        <v>65337.64</v>
      </c>
      <c r="I45" s="37">
        <f t="shared" ref="I45:I48" si="10">H45</f>
        <v>65337.64</v>
      </c>
      <c r="J45" s="37">
        <f t="shared" ref="J45:J48" si="11">I45</f>
        <v>65337.64</v>
      </c>
      <c r="K45" s="37">
        <f t="shared" si="5"/>
        <v>2144800</v>
      </c>
      <c r="L45" s="37">
        <f t="shared" si="6"/>
        <v>2079462.36</v>
      </c>
    </row>
    <row r="46" spans="1:14" s="3" customFormat="1" ht="12" hidden="1" x14ac:dyDescent="0.25">
      <c r="A46" s="38">
        <v>5200</v>
      </c>
      <c r="B46" s="41" t="s">
        <v>42</v>
      </c>
      <c r="C46" s="37">
        <v>136300</v>
      </c>
      <c r="D46" s="37">
        <v>0</v>
      </c>
      <c r="E46" s="37">
        <v>0</v>
      </c>
      <c r="F46" s="40">
        <f t="shared" si="9"/>
        <v>136300</v>
      </c>
      <c r="G46" s="37">
        <v>0</v>
      </c>
      <c r="H46" s="37">
        <v>0</v>
      </c>
      <c r="I46" s="37">
        <f t="shared" si="10"/>
        <v>0</v>
      </c>
      <c r="J46" s="37">
        <f t="shared" si="11"/>
        <v>0</v>
      </c>
      <c r="K46" s="37">
        <f t="shared" si="5"/>
        <v>136300</v>
      </c>
      <c r="L46" s="37">
        <f t="shared" si="6"/>
        <v>136300</v>
      </c>
    </row>
    <row r="47" spans="1:14" s="3" customFormat="1" ht="12" hidden="1" x14ac:dyDescent="0.25">
      <c r="A47" s="38">
        <v>5300</v>
      </c>
      <c r="B47" s="41" t="s">
        <v>48</v>
      </c>
      <c r="C47" s="37">
        <v>1000</v>
      </c>
      <c r="D47" s="37"/>
      <c r="E47" s="37"/>
      <c r="F47" s="40">
        <f t="shared" si="9"/>
        <v>1000</v>
      </c>
      <c r="G47" s="37"/>
      <c r="H47" s="37">
        <v>0</v>
      </c>
      <c r="I47" s="37">
        <f t="shared" si="10"/>
        <v>0</v>
      </c>
      <c r="J47" s="37">
        <f t="shared" si="11"/>
        <v>0</v>
      </c>
      <c r="K47" s="37">
        <f t="shared" si="5"/>
        <v>1000</v>
      </c>
      <c r="L47" s="37">
        <f t="shared" si="6"/>
        <v>1000</v>
      </c>
    </row>
    <row r="48" spans="1:14" s="3" customFormat="1" ht="12" hidden="1" x14ac:dyDescent="0.25">
      <c r="A48" s="38">
        <v>5600</v>
      </c>
      <c r="B48" s="39" t="s">
        <v>41</v>
      </c>
      <c r="C48" s="37">
        <v>2006000</v>
      </c>
      <c r="D48" s="37">
        <v>0</v>
      </c>
      <c r="E48" s="37">
        <v>0</v>
      </c>
      <c r="F48" s="40">
        <f t="shared" si="9"/>
        <v>2006000</v>
      </c>
      <c r="G48" s="40">
        <v>0</v>
      </c>
      <c r="H48" s="37">
        <f>6869.18</f>
        <v>6869.18</v>
      </c>
      <c r="I48" s="37">
        <f t="shared" si="10"/>
        <v>6869.18</v>
      </c>
      <c r="J48" s="37">
        <f t="shared" si="11"/>
        <v>6869.18</v>
      </c>
      <c r="K48" s="37">
        <f t="shared" si="5"/>
        <v>2006000</v>
      </c>
      <c r="L48" s="37">
        <f t="shared" si="6"/>
        <v>1999130.82</v>
      </c>
    </row>
    <row r="49" spans="1:14" s="3" customFormat="1" ht="24" customHeight="1" x14ac:dyDescent="0.25">
      <c r="A49" s="43" t="s">
        <v>14</v>
      </c>
      <c r="B49" s="38"/>
      <c r="C49" s="37">
        <f>'x objeto del gasto'!C50</f>
        <v>117420</v>
      </c>
      <c r="D49" s="37">
        <f>'x objeto del gasto'!D50</f>
        <v>0</v>
      </c>
      <c r="E49" s="37">
        <f>'x objeto del gasto'!E50</f>
        <v>0</v>
      </c>
      <c r="F49" s="37">
        <f>'x objeto del gasto'!F50</f>
        <v>117420</v>
      </c>
      <c r="G49" s="37">
        <f>'x objeto del gasto'!G50</f>
        <v>0</v>
      </c>
      <c r="H49" s="37">
        <f>'x objeto del gasto'!H50</f>
        <v>0</v>
      </c>
      <c r="I49" s="37">
        <f>'x objeto del gasto'!I50</f>
        <v>0</v>
      </c>
      <c r="J49" s="37">
        <f>'x objeto del gasto'!J50</f>
        <v>0</v>
      </c>
      <c r="K49" s="37">
        <f t="shared" si="5"/>
        <v>117420</v>
      </c>
      <c r="L49" s="37">
        <f t="shared" si="6"/>
        <v>117420</v>
      </c>
      <c r="N49" s="27"/>
    </row>
    <row r="50" spans="1:14" s="3" customFormat="1" ht="8.25" customHeight="1" x14ac:dyDescent="0.25">
      <c r="A50" s="20"/>
      <c r="B50" s="20"/>
      <c r="C50" s="21"/>
      <c r="D50" s="21"/>
      <c r="E50" s="21"/>
      <c r="F50" s="21"/>
      <c r="G50" s="18"/>
      <c r="H50" s="21"/>
      <c r="I50" s="21"/>
      <c r="J50" s="21"/>
      <c r="K50" s="18"/>
      <c r="L50" s="18"/>
    </row>
    <row r="51" spans="1:14" s="3" customFormat="1" ht="16.5" customHeight="1" x14ac:dyDescent="0.25">
      <c r="A51" s="68" t="s">
        <v>51</v>
      </c>
      <c r="B51" s="69"/>
      <c r="C51" s="19">
        <f>SUM(C49,C42,C32,C24,C44)</f>
        <v>121444711.17999999</v>
      </c>
      <c r="D51" s="19">
        <f t="shared" ref="D51:K51" si="12">SUM(D49,D42,D32,D24,D44)</f>
        <v>0</v>
      </c>
      <c r="E51" s="19">
        <f t="shared" si="12"/>
        <v>0</v>
      </c>
      <c r="F51" s="19">
        <f t="shared" si="12"/>
        <v>121444711.17999999</v>
      </c>
      <c r="G51" s="19">
        <f t="shared" si="12"/>
        <v>25885131.300000004</v>
      </c>
      <c r="H51" s="19">
        <f t="shared" si="12"/>
        <v>25057574.590000004</v>
      </c>
      <c r="I51" s="19">
        <f t="shared" si="12"/>
        <v>24295540.860000003</v>
      </c>
      <c r="J51" s="19">
        <f>SUM(J49,J42,J32,J24,J44)</f>
        <v>24206850.860000003</v>
      </c>
      <c r="K51" s="19">
        <f t="shared" si="12"/>
        <v>95559579.879999995</v>
      </c>
      <c r="L51" s="19">
        <f>L24+L32+L42+L44+L49</f>
        <v>96387136.590000004</v>
      </c>
    </row>
    <row r="52" spans="1:14" s="3" customFormat="1" ht="13.5" customHeight="1" x14ac:dyDescent="0.25">
      <c r="I52" s="4"/>
      <c r="J52" s="4"/>
      <c r="N52" s="4"/>
    </row>
    <row r="53" spans="1:14" s="3" customFormat="1" ht="13.5" customHeight="1" x14ac:dyDescent="0.25">
      <c r="I53" s="4"/>
      <c r="J53" s="4"/>
      <c r="N53" s="4"/>
    </row>
    <row r="54" spans="1:14" s="3" customFormat="1" ht="15.75" customHeight="1" x14ac:dyDescent="0.25">
      <c r="B54" s="58"/>
      <c r="N54" s="4"/>
    </row>
    <row r="55" spans="1:14" s="3" customFormat="1" ht="22.5" customHeight="1" x14ac:dyDescent="0.25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4" s="3" customFormat="1" ht="26.25" customHeight="1" x14ac:dyDescent="0.25">
      <c r="A56" s="67" t="s">
        <v>57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4" s="58" customFormat="1" ht="12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spans="1:14" s="58" customFormat="1" ht="12.7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1:14" s="58" customFormat="1" ht="12.75" customHeight="1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4" s="58" customFormat="1" ht="12.75" customHeight="1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4" s="58" customFormat="1" ht="12.7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4" s="58" customFormat="1" ht="12.7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4" s="3" customFormat="1" ht="18" customHeight="1" x14ac:dyDescent="0.25">
      <c r="B63" s="28"/>
      <c r="C63" s="28"/>
      <c r="D63" s="28"/>
      <c r="E63" s="28"/>
      <c r="F63" s="28"/>
      <c r="G63" s="28"/>
      <c r="H63" s="45"/>
      <c r="I63" s="45"/>
      <c r="J63" s="28"/>
      <c r="K63" s="28"/>
      <c r="L63" s="28"/>
    </row>
    <row r="64" spans="1:14" s="3" customFormat="1" ht="12" x14ac:dyDescent="0.25"/>
    <row r="65" s="3" customFormat="1" ht="12" x14ac:dyDescent="0.25"/>
    <row r="66" s="3" customFormat="1" ht="12" x14ac:dyDescent="0.25"/>
    <row r="67" s="3" customFormat="1" ht="12" x14ac:dyDescent="0.25"/>
    <row r="68" s="3" customFormat="1" ht="12" x14ac:dyDescent="0.25"/>
    <row r="69" s="3" customFormat="1" ht="12" x14ac:dyDescent="0.25"/>
    <row r="70" s="3" customFormat="1" ht="12" x14ac:dyDescent="0.25"/>
    <row r="71" s="3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  <row r="77" s="58" customFormat="1" ht="12" x14ac:dyDescent="0.25"/>
    <row r="78" s="3" customFormat="1" ht="12" x14ac:dyDescent="0.25"/>
    <row r="79" s="3" customFormat="1" ht="12" x14ac:dyDescent="0.25"/>
    <row r="80" s="3" customFormat="1" ht="12" x14ac:dyDescent="0.25"/>
    <row r="81" s="3" customFormat="1" ht="12" x14ac:dyDescent="0.25"/>
    <row r="82" s="3" customFormat="1" ht="12" x14ac:dyDescent="0.25"/>
    <row r="83" s="3" customFormat="1" ht="12" x14ac:dyDescent="0.25"/>
    <row r="84" s="3" customFormat="1" ht="12" x14ac:dyDescent="0.25"/>
    <row r="85" s="3" customFormat="1" ht="12" x14ac:dyDescent="0.25"/>
    <row r="86" s="3" customFormat="1" ht="12" x14ac:dyDescent="0.25"/>
    <row r="87" s="3" customFormat="1" ht="12" x14ac:dyDescent="0.25"/>
    <row r="88" s="3" customFormat="1" ht="12" x14ac:dyDescent="0.25"/>
    <row r="89" s="3" customFormat="1" ht="12" x14ac:dyDescent="0.25"/>
    <row r="90" s="3" customFormat="1" ht="12" x14ac:dyDescent="0.25"/>
    <row r="91" s="3" customFormat="1" ht="12" x14ac:dyDescent="0.25"/>
    <row r="92" s="3" customFormat="1" ht="12" x14ac:dyDescent="0.25"/>
    <row r="93" s="3" customFormat="1" ht="12" x14ac:dyDescent="0.25"/>
    <row r="94" s="3" customFormat="1" ht="12" x14ac:dyDescent="0.25"/>
    <row r="95" s="3" customFormat="1" ht="12" x14ac:dyDescent="0.25"/>
    <row r="96" s="3" customFormat="1" ht="12" x14ac:dyDescent="0.25"/>
    <row r="97" s="3" customFormat="1" ht="12" x14ac:dyDescent="0.25"/>
    <row r="98" s="3" customFormat="1" ht="12" x14ac:dyDescent="0.25"/>
    <row r="99" s="3" customFormat="1" ht="12" x14ac:dyDescent="0.25"/>
    <row r="100" s="3" customFormat="1" ht="12" x14ac:dyDescent="0.25"/>
    <row r="101" s="3" customFormat="1" ht="12" x14ac:dyDescent="0.25"/>
    <row r="102" s="3" customFormat="1" ht="12" x14ac:dyDescent="0.25"/>
  </sheetData>
  <mergeCells count="19">
    <mergeCell ref="A6:L6"/>
    <mergeCell ref="A8:L8"/>
    <mergeCell ref="A9:L9"/>
    <mergeCell ref="A10:L10"/>
    <mergeCell ref="A16:B18"/>
    <mergeCell ref="C16:F16"/>
    <mergeCell ref="G16:G18"/>
    <mergeCell ref="H16:H18"/>
    <mergeCell ref="I16:I18"/>
    <mergeCell ref="J16:J18"/>
    <mergeCell ref="A56:L56"/>
    <mergeCell ref="A51:B51"/>
    <mergeCell ref="B55:L55"/>
    <mergeCell ref="K16:K18"/>
    <mergeCell ref="L16:L18"/>
    <mergeCell ref="C17:C18"/>
    <mergeCell ref="D17:D18"/>
    <mergeCell ref="E17:E18"/>
    <mergeCell ref="F17:F18"/>
  </mergeCells>
  <printOptions horizontalCentered="1"/>
  <pageMargins left="0.51181102362204722" right="0.23622047244094491" top="0.64" bottom="0.15748031496062992" header="0.31496062992125984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81"/>
  <sheetViews>
    <sheetView workbookViewId="0">
      <selection activeCell="A6" sqref="A6:L6"/>
    </sheetView>
  </sheetViews>
  <sheetFormatPr baseColWidth="10" defaultRowHeight="14.25" x14ac:dyDescent="0.25"/>
  <cols>
    <col min="1" max="1" width="8.140625" style="1" customWidth="1"/>
    <col min="2" max="2" width="52.7109375" style="1" customWidth="1"/>
    <col min="3" max="3" width="11.5703125" style="1" customWidth="1"/>
    <col min="4" max="8" width="10.7109375" style="1" customWidth="1"/>
    <col min="9" max="9" width="10.85546875" style="1" customWidth="1"/>
    <col min="10" max="10" width="10.7109375" style="1" customWidth="1"/>
    <col min="11" max="11" width="15" style="1" customWidth="1"/>
    <col min="12" max="12" width="13.140625" style="1" customWidth="1"/>
    <col min="13" max="16384" width="11.42578125" style="1"/>
  </cols>
  <sheetData>
    <row r="9" spans="1:12" ht="18" x14ac:dyDescent="0.25">
      <c r="A9" s="77" t="s">
        <v>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1" spans="1:12" ht="15" x14ac:dyDescent="0.25">
      <c r="A11" s="78" t="s">
        <v>61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25">
      <c r="A12" s="79" t="s">
        <v>67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x14ac:dyDescent="0.25">
      <c r="A13" s="79" t="s">
        <v>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8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24" t="s">
        <v>33</v>
      </c>
      <c r="B15" s="23" t="s">
        <v>38</v>
      </c>
      <c r="C15" s="24" t="s">
        <v>34</v>
      </c>
      <c r="D15" s="23" t="s">
        <v>36</v>
      </c>
      <c r="E15" s="5"/>
      <c r="F15" s="5"/>
      <c r="G15" s="24" t="s">
        <v>35</v>
      </c>
      <c r="H15" s="23" t="s">
        <v>37</v>
      </c>
      <c r="I15" s="5"/>
      <c r="J15" s="5"/>
      <c r="K15" s="5"/>
      <c r="L15" s="5"/>
    </row>
    <row r="16" spans="1:12" s="23" customFormat="1" ht="12.75" x14ac:dyDescent="0.25">
      <c r="A16" s="23" t="s">
        <v>49</v>
      </c>
    </row>
    <row r="17" spans="1:14" s="2" customFormat="1" ht="16.5" customHeight="1" x14ac:dyDescent="0.25">
      <c r="A17" s="80" t="s">
        <v>3</v>
      </c>
      <c r="B17" s="81"/>
      <c r="C17" s="89" t="s">
        <v>47</v>
      </c>
      <c r="D17" s="89"/>
      <c r="E17" s="89"/>
      <c r="F17" s="89"/>
      <c r="G17" s="89" t="s">
        <v>5</v>
      </c>
      <c r="H17" s="89" t="s">
        <v>2</v>
      </c>
      <c r="I17" s="90" t="s">
        <v>60</v>
      </c>
      <c r="J17" s="89" t="s">
        <v>6</v>
      </c>
      <c r="K17" s="71" t="s">
        <v>7</v>
      </c>
      <c r="L17" s="71" t="s">
        <v>8</v>
      </c>
    </row>
    <row r="18" spans="1:14" s="2" customFormat="1" ht="17.25" customHeight="1" x14ac:dyDescent="0.25">
      <c r="A18" s="82"/>
      <c r="B18" s="83"/>
      <c r="C18" s="90" t="s">
        <v>4</v>
      </c>
      <c r="D18" s="90" t="s">
        <v>58</v>
      </c>
      <c r="E18" s="90" t="s">
        <v>59</v>
      </c>
      <c r="F18" s="93" t="s">
        <v>1</v>
      </c>
      <c r="G18" s="89"/>
      <c r="H18" s="89"/>
      <c r="I18" s="91"/>
      <c r="J18" s="89"/>
      <c r="K18" s="71"/>
      <c r="L18" s="71"/>
    </row>
    <row r="19" spans="1:14" s="2" customFormat="1" ht="17.25" customHeight="1" x14ac:dyDescent="0.25">
      <c r="A19" s="84"/>
      <c r="B19" s="85"/>
      <c r="C19" s="92"/>
      <c r="D19" s="92"/>
      <c r="E19" s="92"/>
      <c r="F19" s="94"/>
      <c r="G19" s="89"/>
      <c r="H19" s="89"/>
      <c r="I19" s="92"/>
      <c r="J19" s="89"/>
      <c r="K19" s="71"/>
      <c r="L19" s="71"/>
    </row>
    <row r="20" spans="1:14" s="3" customFormat="1" ht="14.25" customHeight="1" x14ac:dyDescent="0.25">
      <c r="A20" s="6">
        <v>1100</v>
      </c>
      <c r="B20" s="7" t="s">
        <v>15</v>
      </c>
      <c r="C20" s="15">
        <v>63895771.030000001</v>
      </c>
      <c r="D20" s="15">
        <v>0</v>
      </c>
      <c r="E20" s="15">
        <v>0</v>
      </c>
      <c r="F20" s="17">
        <f>C20+D20-E20</f>
        <v>63895771.030000001</v>
      </c>
      <c r="G20" s="15">
        <f>15252455.66+4813.47</f>
        <v>15257269.130000001</v>
      </c>
      <c r="H20" s="15">
        <f>15252455.66+4813.47</f>
        <v>15257269.130000001</v>
      </c>
      <c r="I20" s="15">
        <f>15252455.66+4813.47</f>
        <v>15257269.130000001</v>
      </c>
      <c r="J20" s="15">
        <f>15252455.66+4813.47</f>
        <v>15257269.130000001</v>
      </c>
      <c r="K20" s="17">
        <f>F20-G20</f>
        <v>48638501.899999999</v>
      </c>
      <c r="L20" s="17">
        <f>F20-H20</f>
        <v>48638501.899999999</v>
      </c>
    </row>
    <row r="21" spans="1:14" s="58" customFormat="1" ht="14.25" customHeight="1" x14ac:dyDescent="0.25">
      <c r="A21" s="25">
        <v>1200</v>
      </c>
      <c r="B21" s="7" t="s">
        <v>113</v>
      </c>
      <c r="C21" s="15">
        <f>156000</f>
        <v>156000</v>
      </c>
      <c r="D21" s="15">
        <v>0</v>
      </c>
      <c r="E21" s="15">
        <v>0</v>
      </c>
      <c r="F21" s="17">
        <f>C21+D21-E21</f>
        <v>156000</v>
      </c>
      <c r="G21" s="15">
        <v>0</v>
      </c>
      <c r="H21" s="15">
        <v>0</v>
      </c>
      <c r="I21" s="15">
        <v>0</v>
      </c>
      <c r="J21" s="15">
        <v>0</v>
      </c>
      <c r="K21" s="17">
        <f>F21-G21</f>
        <v>156000</v>
      </c>
      <c r="L21" s="17">
        <f>F21-H21</f>
        <v>156000</v>
      </c>
    </row>
    <row r="22" spans="1:14" s="3" customFormat="1" ht="12.75" customHeight="1" x14ac:dyDescent="0.25">
      <c r="A22" s="6">
        <v>1300</v>
      </c>
      <c r="B22" s="7" t="s">
        <v>16</v>
      </c>
      <c r="C22" s="15">
        <f>3550005.07-240+10763988.9</f>
        <v>14313753.970000001</v>
      </c>
      <c r="D22" s="15">
        <v>0</v>
      </c>
      <c r="E22" s="15">
        <v>0</v>
      </c>
      <c r="F22" s="17">
        <f t="shared" ref="F22:F49" si="0">C22+D22-E22</f>
        <v>14313753.970000001</v>
      </c>
      <c r="G22" s="15">
        <f>2571641.53+845049.12</f>
        <v>3416690.65</v>
      </c>
      <c r="H22" s="15">
        <f>2571641.53+845049.12</f>
        <v>3416690.65</v>
      </c>
      <c r="I22" s="15">
        <f>2571641.53+845049.12</f>
        <v>3416690.65</v>
      </c>
      <c r="J22" s="15">
        <f>2571641.53+845049.12</f>
        <v>3416690.65</v>
      </c>
      <c r="K22" s="17">
        <f>F22-G22</f>
        <v>10897063.32</v>
      </c>
      <c r="L22" s="17">
        <f t="shared" ref="L22:L24" si="1">F22-H22</f>
        <v>10897063.32</v>
      </c>
    </row>
    <row r="23" spans="1:14" s="3" customFormat="1" ht="12.75" customHeight="1" x14ac:dyDescent="0.25">
      <c r="A23" s="6">
        <v>1400</v>
      </c>
      <c r="B23" s="7" t="s">
        <v>17</v>
      </c>
      <c r="C23" s="15">
        <v>12134107.300000001</v>
      </c>
      <c r="D23" s="15">
        <v>0</v>
      </c>
      <c r="E23" s="15">
        <v>0</v>
      </c>
      <c r="F23" s="17">
        <f t="shared" si="0"/>
        <v>12134107.300000001</v>
      </c>
      <c r="G23" s="15">
        <f>2867517.96</f>
        <v>2867517.96</v>
      </c>
      <c r="H23" s="15">
        <f>2867517.96</f>
        <v>2867517.96</v>
      </c>
      <c r="I23" s="15">
        <f>2867517.96</f>
        <v>2867517.96</v>
      </c>
      <c r="J23" s="15">
        <f>2867517.96</f>
        <v>2867517.96</v>
      </c>
      <c r="K23" s="17">
        <f>F23-G23</f>
        <v>9266589.3399999999</v>
      </c>
      <c r="L23" s="17">
        <f t="shared" si="1"/>
        <v>9266589.3399999999</v>
      </c>
    </row>
    <row r="24" spans="1:14" s="3" customFormat="1" ht="12" x14ac:dyDescent="0.25">
      <c r="A24" s="6">
        <v>1500</v>
      </c>
      <c r="B24" s="7" t="s">
        <v>18</v>
      </c>
      <c r="C24" s="15">
        <v>3972722.3</v>
      </c>
      <c r="D24" s="15">
        <v>0</v>
      </c>
      <c r="E24" s="15">
        <v>0</v>
      </c>
      <c r="F24" s="17">
        <f t="shared" si="0"/>
        <v>3972722.3</v>
      </c>
      <c r="G24" s="15">
        <v>806137.62</v>
      </c>
      <c r="H24" s="15">
        <v>806137.62</v>
      </c>
      <c r="I24" s="15">
        <v>806137.62</v>
      </c>
      <c r="J24" s="15">
        <v>806137.62</v>
      </c>
      <c r="K24" s="17">
        <f>F24-G24</f>
        <v>3166584.6799999997</v>
      </c>
      <c r="L24" s="17">
        <f t="shared" si="1"/>
        <v>3166584.6799999997</v>
      </c>
    </row>
    <row r="25" spans="1:14" s="3" customFormat="1" ht="15" customHeight="1" x14ac:dyDescent="0.25">
      <c r="A25" s="9" t="s">
        <v>12</v>
      </c>
      <c r="B25" s="10"/>
      <c r="C25" s="16">
        <f t="shared" ref="C25" si="2">SUM(C20:C24)</f>
        <v>94472354.599999994</v>
      </c>
      <c r="D25" s="16">
        <f>SUM(D20:D24)</f>
        <v>0</v>
      </c>
      <c r="E25" s="16">
        <f>SUM(E20:E24)</f>
        <v>0</v>
      </c>
      <c r="F25" s="16">
        <f>SUM(F20:F24)</f>
        <v>94472354.599999994</v>
      </c>
      <c r="G25" s="16">
        <f>SUM(G20:G24)</f>
        <v>22347615.360000003</v>
      </c>
      <c r="H25" s="16">
        <f>SUM(H20:H24)</f>
        <v>22347615.360000003</v>
      </c>
      <c r="I25" s="16">
        <f>SUM(I20:I24)</f>
        <v>22347615.360000003</v>
      </c>
      <c r="J25" s="16">
        <f>SUM(J20:J24)</f>
        <v>22347615.360000003</v>
      </c>
      <c r="K25" s="16">
        <f>SUM(K20:K24)</f>
        <v>72124739.24000001</v>
      </c>
      <c r="L25" s="16">
        <f>SUM(L20:L24)</f>
        <v>72124739.24000001</v>
      </c>
      <c r="N25" s="27"/>
    </row>
    <row r="26" spans="1:14" s="3" customFormat="1" ht="13.5" customHeight="1" x14ac:dyDescent="0.25">
      <c r="A26" s="6">
        <v>2100</v>
      </c>
      <c r="B26" s="7" t="s">
        <v>19</v>
      </c>
      <c r="C26" s="15">
        <f>1045932.44+913064.6+670.47</f>
        <v>1959667.51</v>
      </c>
      <c r="D26" s="15">
        <v>0</v>
      </c>
      <c r="E26" s="15">
        <v>0</v>
      </c>
      <c r="F26" s="17">
        <f t="shared" si="0"/>
        <v>1959667.51</v>
      </c>
      <c r="G26" s="15">
        <f>87160.73+19882.42</f>
        <v>107043.15</v>
      </c>
      <c r="H26" s="15">
        <f>87160.73+19882.42</f>
        <v>107043.15</v>
      </c>
      <c r="I26" s="15">
        <f>87160.73+19882.42</f>
        <v>107043.15</v>
      </c>
      <c r="J26" s="15">
        <f>87160.73+19882.42</f>
        <v>107043.15</v>
      </c>
      <c r="K26" s="17">
        <f t="shared" ref="K26:K32" si="3">F26-G26</f>
        <v>1852624.36</v>
      </c>
      <c r="L26" s="17">
        <f t="shared" ref="L26:L32" si="4">F26-H26</f>
        <v>1852624.36</v>
      </c>
      <c r="M26" s="4"/>
    </row>
    <row r="27" spans="1:14" s="3" customFormat="1" ht="14.25" customHeight="1" x14ac:dyDescent="0.25">
      <c r="A27" s="6">
        <v>2200</v>
      </c>
      <c r="B27" s="7" t="s">
        <v>20</v>
      </c>
      <c r="C27" s="15">
        <f>139655.5+325273</f>
        <v>464928.5</v>
      </c>
      <c r="D27" s="15">
        <v>0</v>
      </c>
      <c r="E27" s="15">
        <v>0</v>
      </c>
      <c r="F27" s="17">
        <f t="shared" si="0"/>
        <v>464928.5</v>
      </c>
      <c r="G27" s="15">
        <f>26445.84+7920.2</f>
        <v>34366.04</v>
      </c>
      <c r="H27" s="15">
        <f>26445.84+7920.2</f>
        <v>34366.04</v>
      </c>
      <c r="I27" s="15">
        <f>26445.84+7920.2</f>
        <v>34366.04</v>
      </c>
      <c r="J27" s="15">
        <f>26445.84+7920.2</f>
        <v>34366.04</v>
      </c>
      <c r="K27" s="17">
        <f t="shared" si="3"/>
        <v>430562.46</v>
      </c>
      <c r="L27" s="17">
        <f t="shared" si="4"/>
        <v>430562.46</v>
      </c>
      <c r="M27" s="4"/>
      <c r="N27" s="4"/>
    </row>
    <row r="28" spans="1:14" s="3" customFormat="1" ht="14.25" customHeight="1" x14ac:dyDescent="0.25">
      <c r="A28" s="25">
        <v>2400</v>
      </c>
      <c r="B28" s="7" t="s">
        <v>21</v>
      </c>
      <c r="C28" s="15">
        <f>263201.53+266323.66</f>
        <v>529525.18999999994</v>
      </c>
      <c r="D28" s="15">
        <v>0</v>
      </c>
      <c r="E28" s="15">
        <v>0</v>
      </c>
      <c r="F28" s="17">
        <f t="shared" si="0"/>
        <v>529525.18999999994</v>
      </c>
      <c r="G28" s="15">
        <f>22522.01+1064.88</f>
        <v>23586.89</v>
      </c>
      <c r="H28" s="15">
        <f>22522.01+1064.88</f>
        <v>23586.89</v>
      </c>
      <c r="I28" s="15">
        <f>22522.01+1064.88</f>
        <v>23586.89</v>
      </c>
      <c r="J28" s="15">
        <f>22522.01+1064.88</f>
        <v>23586.89</v>
      </c>
      <c r="K28" s="17">
        <f t="shared" si="3"/>
        <v>505938.29999999993</v>
      </c>
      <c r="L28" s="17">
        <f t="shared" si="4"/>
        <v>505938.29999999993</v>
      </c>
      <c r="M28" s="4"/>
    </row>
    <row r="29" spans="1:14" s="3" customFormat="1" ht="21" customHeight="1" x14ac:dyDescent="0.25">
      <c r="A29" s="25">
        <v>2500</v>
      </c>
      <c r="B29" s="8" t="s">
        <v>23</v>
      </c>
      <c r="C29" s="15">
        <f>25952+85911.87</f>
        <v>111863.87</v>
      </c>
      <c r="D29" s="15">
        <v>0</v>
      </c>
      <c r="E29" s="15">
        <v>0</v>
      </c>
      <c r="F29" s="17">
        <f t="shared" si="0"/>
        <v>111863.87</v>
      </c>
      <c r="G29" s="15">
        <f>3933.93</f>
        <v>3933.93</v>
      </c>
      <c r="H29" s="15">
        <f>3933.93</f>
        <v>3933.93</v>
      </c>
      <c r="I29" s="15">
        <f>3933.93</f>
        <v>3933.93</v>
      </c>
      <c r="J29" s="15">
        <f>3933.93</f>
        <v>3933.93</v>
      </c>
      <c r="K29" s="17">
        <f t="shared" si="3"/>
        <v>107929.94</v>
      </c>
      <c r="L29" s="17">
        <f t="shared" si="4"/>
        <v>107929.94</v>
      </c>
      <c r="M29" s="27"/>
    </row>
    <row r="30" spans="1:14" s="3" customFormat="1" ht="12" x14ac:dyDescent="0.25">
      <c r="A30" s="25">
        <v>2600</v>
      </c>
      <c r="B30" s="7" t="s">
        <v>11</v>
      </c>
      <c r="C30" s="15">
        <f>116622.56+970492.25</f>
        <v>1087114.81</v>
      </c>
      <c r="D30" s="15">
        <v>0</v>
      </c>
      <c r="E30" s="15">
        <v>0</v>
      </c>
      <c r="F30" s="17">
        <f t="shared" si="0"/>
        <v>1087114.81</v>
      </c>
      <c r="G30" s="15">
        <f>164894.24+5062.94</f>
        <v>169957.18</v>
      </c>
      <c r="H30" s="15">
        <f>164894.24+5062.94</f>
        <v>169957.18</v>
      </c>
      <c r="I30" s="15">
        <f>164894.24+5062.94</f>
        <v>169957.18</v>
      </c>
      <c r="J30" s="15">
        <f>164894.24+5062.94</f>
        <v>169957.18</v>
      </c>
      <c r="K30" s="17">
        <f t="shared" si="3"/>
        <v>917157.63000000012</v>
      </c>
      <c r="L30" s="17">
        <f t="shared" si="4"/>
        <v>917157.63000000012</v>
      </c>
      <c r="M30" s="4"/>
    </row>
    <row r="31" spans="1:14" s="3" customFormat="1" ht="22.5" x14ac:dyDescent="0.25">
      <c r="A31" s="25">
        <v>2700</v>
      </c>
      <c r="B31" s="8" t="s">
        <v>22</v>
      </c>
      <c r="C31" s="15">
        <f>10000+199711.72</f>
        <v>209711.72</v>
      </c>
      <c r="D31" s="15">
        <v>0</v>
      </c>
      <c r="E31" s="15">
        <v>0</v>
      </c>
      <c r="F31" s="17">
        <f t="shared" si="0"/>
        <v>209711.72</v>
      </c>
      <c r="G31" s="15">
        <f>15062.6</f>
        <v>15062.6</v>
      </c>
      <c r="H31" s="15">
        <f>15062.6</f>
        <v>15062.6</v>
      </c>
      <c r="I31" s="15">
        <f>15062.6</f>
        <v>15062.6</v>
      </c>
      <c r="J31" s="15">
        <f>15062.6</f>
        <v>15062.6</v>
      </c>
      <c r="K31" s="17">
        <f t="shared" si="3"/>
        <v>194649.12</v>
      </c>
      <c r="L31" s="17">
        <f t="shared" si="4"/>
        <v>194649.12</v>
      </c>
      <c r="M31" s="4"/>
    </row>
    <row r="32" spans="1:14" s="3" customFormat="1" ht="12" x14ac:dyDescent="0.25">
      <c r="A32" s="6">
        <v>2900</v>
      </c>
      <c r="B32" s="8" t="s">
        <v>40</v>
      </c>
      <c r="C32" s="15">
        <f>97614.04+93664</f>
        <v>191278.03999999998</v>
      </c>
      <c r="D32" s="15">
        <v>0</v>
      </c>
      <c r="E32" s="15">
        <v>0</v>
      </c>
      <c r="F32" s="17">
        <f t="shared" si="0"/>
        <v>191278.03999999998</v>
      </c>
      <c r="G32" s="15">
        <f>7948.73+9425.04</f>
        <v>17373.77</v>
      </c>
      <c r="H32" s="15">
        <f>7948.73+9425.04</f>
        <v>17373.77</v>
      </c>
      <c r="I32" s="15">
        <f>7948.73+9425.04</f>
        <v>17373.77</v>
      </c>
      <c r="J32" s="15">
        <f>7948.73+9425.04</f>
        <v>17373.77</v>
      </c>
      <c r="K32" s="17">
        <f t="shared" si="3"/>
        <v>173904.27</v>
      </c>
      <c r="L32" s="17">
        <f t="shared" si="4"/>
        <v>173904.27</v>
      </c>
      <c r="M32" s="4"/>
    </row>
    <row r="33" spans="1:14" s="3" customFormat="1" ht="15.75" customHeight="1" x14ac:dyDescent="0.25">
      <c r="A33" s="9" t="s">
        <v>13</v>
      </c>
      <c r="B33" s="10"/>
      <c r="C33" s="16">
        <f t="shared" ref="C33" si="5">C26+C27+C28+C29+C30+C31+C32</f>
        <v>4554089.6399999997</v>
      </c>
      <c r="D33" s="16">
        <f t="shared" ref="C33:G33" si="6">D26+D27+D28+D29+D30+D31+D32</f>
        <v>0</v>
      </c>
      <c r="E33" s="16">
        <f t="shared" si="6"/>
        <v>0</v>
      </c>
      <c r="F33" s="16">
        <f t="shared" si="6"/>
        <v>4554089.6399999997</v>
      </c>
      <c r="G33" s="16">
        <f t="shared" si="6"/>
        <v>371323.56</v>
      </c>
      <c r="H33" s="16">
        <f t="shared" ref="H33:J33" si="7">H26+H27+H28+H29+H30+H31+H32</f>
        <v>371323.56</v>
      </c>
      <c r="I33" s="16">
        <f t="shared" si="7"/>
        <v>371323.56</v>
      </c>
      <c r="J33" s="16">
        <f t="shared" si="7"/>
        <v>371323.56</v>
      </c>
      <c r="K33" s="16">
        <f t="shared" ref="K33:L33" si="8">SUM(K26:K32)</f>
        <v>4182766.0800000005</v>
      </c>
      <c r="L33" s="16">
        <f t="shared" si="8"/>
        <v>4182766.0800000005</v>
      </c>
      <c r="M33" s="4"/>
      <c r="N33" s="27"/>
    </row>
    <row r="34" spans="1:14" s="3" customFormat="1" ht="14.25" customHeight="1" x14ac:dyDescent="0.25">
      <c r="A34" s="6">
        <v>3100</v>
      </c>
      <c r="B34" s="7" t="s">
        <v>24</v>
      </c>
      <c r="C34" s="15">
        <f>2807208.23+430066</f>
        <v>3237274.23</v>
      </c>
      <c r="D34" s="15">
        <v>0</v>
      </c>
      <c r="E34" s="15">
        <v>0</v>
      </c>
      <c r="F34" s="17">
        <f t="shared" si="0"/>
        <v>3237274.23</v>
      </c>
      <c r="G34" s="15">
        <f>78288.96+724918.07</f>
        <v>803207.02999999991</v>
      </c>
      <c r="H34" s="15">
        <f>78288.96+443297.02</f>
        <v>521585.98000000004</v>
      </c>
      <c r="I34" s="15">
        <f>78288.96+233031.03-70646.47</f>
        <v>240673.52</v>
      </c>
      <c r="J34" s="15">
        <f>78288.96+144341.03-70646.47</f>
        <v>151983.51999999999</v>
      </c>
      <c r="K34" s="17">
        <f t="shared" ref="K34:K42" si="9">F34-G34</f>
        <v>2434067.2000000002</v>
      </c>
      <c r="L34" s="17">
        <f t="shared" ref="L34:L42" si="10">F34-H34</f>
        <v>2715688.25</v>
      </c>
      <c r="M34" s="4"/>
    </row>
    <row r="35" spans="1:14" s="3" customFormat="1" ht="14.25" customHeight="1" x14ac:dyDescent="0.25">
      <c r="A35" s="6">
        <v>3200</v>
      </c>
      <c r="B35" s="7" t="s">
        <v>25</v>
      </c>
      <c r="C35" s="15">
        <f>328286.46+893047.93</f>
        <v>1221334.3900000001</v>
      </c>
      <c r="D35" s="15">
        <v>0</v>
      </c>
      <c r="E35" s="15">
        <v>0</v>
      </c>
      <c r="F35" s="17">
        <f t="shared" si="0"/>
        <v>1221334.3900000001</v>
      </c>
      <c r="G35" s="15">
        <f>242704.73+9190.73</f>
        <v>251895.46000000002</v>
      </c>
      <c r="H35" s="15">
        <f>242704.73+9190.73</f>
        <v>251895.46000000002</v>
      </c>
      <c r="I35" s="15">
        <f>242704.73+9190.73</f>
        <v>251895.46000000002</v>
      </c>
      <c r="J35" s="15">
        <f>242704.73+9190.73</f>
        <v>251895.46000000002</v>
      </c>
      <c r="K35" s="17">
        <f t="shared" si="9"/>
        <v>969438.93000000017</v>
      </c>
      <c r="L35" s="17">
        <f t="shared" si="10"/>
        <v>969438.93000000017</v>
      </c>
      <c r="M35" s="4"/>
    </row>
    <row r="36" spans="1:14" s="3" customFormat="1" ht="22.5" x14ac:dyDescent="0.25">
      <c r="A36" s="6">
        <v>3300</v>
      </c>
      <c r="B36" s="8" t="s">
        <v>26</v>
      </c>
      <c r="C36" s="15">
        <f>2637483.52+319238.64</f>
        <v>2956722.16</v>
      </c>
      <c r="D36" s="15">
        <v>0</v>
      </c>
      <c r="E36" s="15">
        <v>0</v>
      </c>
      <c r="F36" s="17">
        <f t="shared" si="0"/>
        <v>2956722.16</v>
      </c>
      <c r="G36" s="15">
        <f>30800+637676.09</f>
        <v>668476.09</v>
      </c>
      <c r="H36" s="15">
        <f>30800+266411.31</f>
        <v>297211.31</v>
      </c>
      <c r="I36" s="15">
        <f>30800+80778.92</f>
        <v>111578.92</v>
      </c>
      <c r="J36" s="15">
        <f>30800+80778.92</f>
        <v>111578.92</v>
      </c>
      <c r="K36" s="17">
        <f t="shared" si="9"/>
        <v>2288246.0700000003</v>
      </c>
      <c r="L36" s="17">
        <f t="shared" si="10"/>
        <v>2659510.85</v>
      </c>
      <c r="M36" s="4"/>
    </row>
    <row r="37" spans="1:14" s="3" customFormat="1" ht="22.5" x14ac:dyDescent="0.25">
      <c r="A37" s="6">
        <v>3400</v>
      </c>
      <c r="B37" s="8" t="s">
        <v>27</v>
      </c>
      <c r="C37" s="15">
        <f>396411.37+304732.68</f>
        <v>701144.05</v>
      </c>
      <c r="D37" s="15">
        <v>0</v>
      </c>
      <c r="E37" s="15">
        <v>0</v>
      </c>
      <c r="F37" s="17">
        <f t="shared" si="0"/>
        <v>701144.05</v>
      </c>
      <c r="G37" s="15">
        <f>0+168675.57</f>
        <v>168675.57</v>
      </c>
      <c r="H37" s="15">
        <f>0+168675.57</f>
        <v>168675.57</v>
      </c>
      <c r="I37" s="15">
        <f>0+168675.57</f>
        <v>168675.57</v>
      </c>
      <c r="J37" s="15">
        <f>0+168675.57</f>
        <v>168675.57</v>
      </c>
      <c r="K37" s="17">
        <f t="shared" si="9"/>
        <v>532468.47999999998</v>
      </c>
      <c r="L37" s="17">
        <f t="shared" si="10"/>
        <v>532468.47999999998</v>
      </c>
      <c r="M37" s="4"/>
    </row>
    <row r="38" spans="1:14" s="3" customFormat="1" ht="12" x14ac:dyDescent="0.25">
      <c r="A38" s="11">
        <v>3500</v>
      </c>
      <c r="B38" s="12" t="s">
        <v>28</v>
      </c>
      <c r="C38" s="15">
        <f>3046884.14+490480.56</f>
        <v>3537364.7</v>
      </c>
      <c r="D38" s="15">
        <v>0</v>
      </c>
      <c r="E38" s="15">
        <v>0</v>
      </c>
      <c r="F38" s="17">
        <f t="shared" si="0"/>
        <v>3537364.7</v>
      </c>
      <c r="G38" s="15">
        <f>1100+357416.16</f>
        <v>358516.16</v>
      </c>
      <c r="H38" s="15">
        <f>1100+182745.28</f>
        <v>183845.28</v>
      </c>
      <c r="I38" s="15">
        <f>1100+8074.4</f>
        <v>9174.4</v>
      </c>
      <c r="J38" s="15">
        <f>1100+8074.4</f>
        <v>9174.4</v>
      </c>
      <c r="K38" s="17">
        <f t="shared" si="9"/>
        <v>3178848.54</v>
      </c>
      <c r="L38" s="17">
        <f t="shared" si="10"/>
        <v>3353519.4200000004</v>
      </c>
      <c r="M38" s="4"/>
    </row>
    <row r="39" spans="1:14" s="3" customFormat="1" ht="22.5" x14ac:dyDescent="0.25">
      <c r="A39" s="11">
        <v>3600</v>
      </c>
      <c r="B39" s="22" t="s">
        <v>29</v>
      </c>
      <c r="C39" s="15">
        <f>601129.11+287665.13</f>
        <v>888794.24</v>
      </c>
      <c r="D39" s="15">
        <v>0</v>
      </c>
      <c r="E39" s="15">
        <v>0</v>
      </c>
      <c r="F39" s="17">
        <f t="shared" si="0"/>
        <v>888794.24</v>
      </c>
      <c r="G39" s="15">
        <f>2813+16582.2</f>
        <v>19395.2</v>
      </c>
      <c r="H39" s="15">
        <f>2813+16582.2</f>
        <v>19395.2</v>
      </c>
      <c r="I39" s="15">
        <f>2813+16582.2</f>
        <v>19395.2</v>
      </c>
      <c r="J39" s="15">
        <f>2813+16582.2</f>
        <v>19395.2</v>
      </c>
      <c r="K39" s="17">
        <f t="shared" si="9"/>
        <v>869399.04000000004</v>
      </c>
      <c r="L39" s="17">
        <f t="shared" si="10"/>
        <v>869399.04000000004</v>
      </c>
      <c r="M39" s="4"/>
    </row>
    <row r="40" spans="1:14" s="3" customFormat="1" ht="13.5" customHeight="1" x14ac:dyDescent="0.25">
      <c r="A40" s="6">
        <v>3700</v>
      </c>
      <c r="B40" s="7" t="s">
        <v>30</v>
      </c>
      <c r="C40" s="15">
        <f>142162+1210555.1</f>
        <v>1352717.1</v>
      </c>
      <c r="D40" s="15">
        <v>0</v>
      </c>
      <c r="E40" s="15">
        <v>0</v>
      </c>
      <c r="F40" s="17">
        <f t="shared" si="0"/>
        <v>1352717.1</v>
      </c>
      <c r="G40" s="15">
        <f>97109.88+7850.7</f>
        <v>104960.58</v>
      </c>
      <c r="H40" s="15">
        <f>97109.88+7850.7</f>
        <v>104960.58</v>
      </c>
      <c r="I40" s="15">
        <f>97109.88+7850.7</f>
        <v>104960.58</v>
      </c>
      <c r="J40" s="15">
        <f>97109.88+7850.7</f>
        <v>104960.58</v>
      </c>
      <c r="K40" s="17">
        <f t="shared" si="9"/>
        <v>1247756.52</v>
      </c>
      <c r="L40" s="17">
        <f t="shared" si="10"/>
        <v>1247756.52</v>
      </c>
      <c r="M40" s="4"/>
    </row>
    <row r="41" spans="1:14" s="3" customFormat="1" ht="12.75" customHeight="1" x14ac:dyDescent="0.25">
      <c r="A41" s="6">
        <v>3800</v>
      </c>
      <c r="B41" s="7" t="s">
        <v>31</v>
      </c>
      <c r="C41" s="15">
        <f>19700+416025</f>
        <v>435725</v>
      </c>
      <c r="D41" s="15">
        <v>0</v>
      </c>
      <c r="E41" s="15">
        <v>0</v>
      </c>
      <c r="F41" s="17">
        <f t="shared" si="0"/>
        <v>435725</v>
      </c>
      <c r="G41" s="15">
        <f>28034.99+1763.2</f>
        <v>29798.190000000002</v>
      </c>
      <c r="H41" s="15">
        <f>28034.99+1763.2</f>
        <v>29798.190000000002</v>
      </c>
      <c r="I41" s="15">
        <f>28034.99+1763.2</f>
        <v>29798.190000000002</v>
      </c>
      <c r="J41" s="15">
        <f>28034.99+1763.2</f>
        <v>29798.190000000002</v>
      </c>
      <c r="K41" s="17">
        <f t="shared" si="9"/>
        <v>405926.81</v>
      </c>
      <c r="L41" s="17">
        <f t="shared" si="10"/>
        <v>405926.81</v>
      </c>
      <c r="M41" s="4"/>
    </row>
    <row r="42" spans="1:14" s="3" customFormat="1" ht="12" x14ac:dyDescent="0.25">
      <c r="A42" s="6">
        <v>3900</v>
      </c>
      <c r="B42" s="7" t="s">
        <v>39</v>
      </c>
      <c r="C42" s="15">
        <f>7479476.07+255345</f>
        <v>7734821.0700000003</v>
      </c>
      <c r="D42" s="15">
        <v>0</v>
      </c>
      <c r="E42" s="15">
        <v>0</v>
      </c>
      <c r="F42" s="17">
        <f t="shared" si="0"/>
        <v>7734821.0700000003</v>
      </c>
      <c r="G42" s="15">
        <f>3035.98+747437.12</f>
        <v>750473.1</v>
      </c>
      <c r="H42" s="15">
        <f>3035.98+747437.12</f>
        <v>750473.1</v>
      </c>
      <c r="I42" s="15">
        <f>3035.98+626619.12</f>
        <v>629655.1</v>
      </c>
      <c r="J42" s="15">
        <f>3035.98+626619.12</f>
        <v>629655.1</v>
      </c>
      <c r="K42" s="17">
        <f t="shared" si="9"/>
        <v>6984347.9700000007</v>
      </c>
      <c r="L42" s="17">
        <f t="shared" si="10"/>
        <v>6984347.9700000007</v>
      </c>
      <c r="M42" s="4"/>
    </row>
    <row r="43" spans="1:14" s="3" customFormat="1" ht="14.25" customHeight="1" x14ac:dyDescent="0.25">
      <c r="A43" s="13" t="s">
        <v>10</v>
      </c>
      <c r="B43" s="14"/>
      <c r="C43" s="16">
        <f t="shared" ref="C43" si="11">C34+C35+C36+C37+C38+C39+C40+C41+C42</f>
        <v>22065896.940000001</v>
      </c>
      <c r="D43" s="16">
        <f t="shared" ref="C43:G43" si="12">D34+D35+D36+D37+D38+D39+D40+D41+D42</f>
        <v>0</v>
      </c>
      <c r="E43" s="16">
        <f t="shared" si="12"/>
        <v>0</v>
      </c>
      <c r="F43" s="16">
        <f t="shared" si="12"/>
        <v>22065896.940000001</v>
      </c>
      <c r="G43" s="16">
        <f t="shared" si="12"/>
        <v>3155397.3800000004</v>
      </c>
      <c r="H43" s="16">
        <f t="shared" ref="H43:J43" si="13">H34+H35+H36+H37+H38+H39+H40+H41+H42</f>
        <v>2327840.67</v>
      </c>
      <c r="I43" s="16">
        <f t="shared" si="13"/>
        <v>1565806.94</v>
      </c>
      <c r="J43" s="16">
        <f t="shared" si="13"/>
        <v>1477116.94</v>
      </c>
      <c r="K43" s="16">
        <f t="shared" ref="K43:L43" si="14">SUM(K34:K42)</f>
        <v>18910499.560000002</v>
      </c>
      <c r="L43" s="16">
        <f t="shared" si="14"/>
        <v>19738056.27</v>
      </c>
      <c r="M43" s="4"/>
      <c r="N43" s="27"/>
    </row>
    <row r="44" spans="1:14" s="3" customFormat="1" ht="13.5" customHeight="1" x14ac:dyDescent="0.25">
      <c r="A44" s="25">
        <v>4300</v>
      </c>
      <c r="B44" s="7" t="s">
        <v>45</v>
      </c>
      <c r="C44" s="15">
        <v>234950</v>
      </c>
      <c r="D44" s="15">
        <v>0</v>
      </c>
      <c r="E44" s="15">
        <v>0</v>
      </c>
      <c r="F44" s="17">
        <f t="shared" si="0"/>
        <v>234950</v>
      </c>
      <c r="G44" s="15">
        <f>10795</f>
        <v>10795</v>
      </c>
      <c r="H44" s="15">
        <f>10795</f>
        <v>10795</v>
      </c>
      <c r="I44" s="15">
        <f>10795</f>
        <v>10795</v>
      </c>
      <c r="J44" s="15">
        <f>10795</f>
        <v>10795</v>
      </c>
      <c r="K44" s="17">
        <f>F44-G44</f>
        <v>224155</v>
      </c>
      <c r="L44" s="17">
        <f>F44-H44</f>
        <v>224155</v>
      </c>
    </row>
    <row r="45" spans="1:14" s="3" customFormat="1" ht="14.25" customHeight="1" x14ac:dyDescent="0.25">
      <c r="A45" s="13" t="s">
        <v>44</v>
      </c>
      <c r="B45" s="26"/>
      <c r="C45" s="16">
        <f>SUM(C44)</f>
        <v>234950</v>
      </c>
      <c r="D45" s="16">
        <f t="shared" ref="D45:L45" si="15">SUM(D44)</f>
        <v>0</v>
      </c>
      <c r="E45" s="16">
        <f t="shared" si="15"/>
        <v>0</v>
      </c>
      <c r="F45" s="16">
        <f t="shared" si="15"/>
        <v>234950</v>
      </c>
      <c r="G45" s="16">
        <f t="shared" si="15"/>
        <v>10795</v>
      </c>
      <c r="H45" s="16">
        <f t="shared" ref="H45:J45" si="16">SUM(H44)</f>
        <v>10795</v>
      </c>
      <c r="I45" s="16">
        <f t="shared" si="16"/>
        <v>10795</v>
      </c>
      <c r="J45" s="16">
        <f t="shared" si="16"/>
        <v>10795</v>
      </c>
      <c r="K45" s="16">
        <f t="shared" si="15"/>
        <v>224155</v>
      </c>
      <c r="L45" s="16">
        <f t="shared" si="15"/>
        <v>224155</v>
      </c>
      <c r="M45" s="4"/>
      <c r="N45" s="27"/>
    </row>
    <row r="46" spans="1:14" s="3" customFormat="1" ht="12" x14ac:dyDescent="0.25">
      <c r="A46" s="11">
        <v>5100</v>
      </c>
      <c r="B46" s="22" t="s">
        <v>32</v>
      </c>
      <c r="C46" s="15">
        <v>87420</v>
      </c>
      <c r="D46" s="15">
        <v>0</v>
      </c>
      <c r="E46" s="15">
        <v>0</v>
      </c>
      <c r="F46" s="17">
        <f t="shared" si="0"/>
        <v>87420</v>
      </c>
      <c r="G46" s="15">
        <f>0</f>
        <v>0</v>
      </c>
      <c r="H46" s="15">
        <v>0</v>
      </c>
      <c r="I46" s="15">
        <v>0</v>
      </c>
      <c r="J46" s="15">
        <v>0</v>
      </c>
      <c r="K46" s="17">
        <f t="shared" ref="K46:K47" si="17">F46-G46</f>
        <v>87420</v>
      </c>
      <c r="L46" s="17">
        <f t="shared" ref="L46:L47" si="18">F46-H46</f>
        <v>87420</v>
      </c>
    </row>
    <row r="47" spans="1:14" s="3" customFormat="1" ht="12" x14ac:dyDescent="0.25">
      <c r="A47" s="6">
        <v>5200</v>
      </c>
      <c r="B47" s="8" t="s">
        <v>42</v>
      </c>
      <c r="C47" s="15">
        <v>16000</v>
      </c>
      <c r="D47" s="15">
        <v>0</v>
      </c>
      <c r="E47" s="15">
        <v>0</v>
      </c>
      <c r="F47" s="17">
        <f t="shared" si="0"/>
        <v>16000</v>
      </c>
      <c r="G47" s="15">
        <v>0</v>
      </c>
      <c r="H47" s="15">
        <v>0</v>
      </c>
      <c r="I47" s="15">
        <v>0</v>
      </c>
      <c r="J47" s="15">
        <f t="shared" ref="J47:J49" si="19">I47</f>
        <v>0</v>
      </c>
      <c r="K47" s="17">
        <f t="shared" si="17"/>
        <v>16000</v>
      </c>
      <c r="L47" s="17">
        <f t="shared" si="18"/>
        <v>16000</v>
      </c>
    </row>
    <row r="48" spans="1:14" s="3" customFormat="1" ht="12" hidden="1" x14ac:dyDescent="0.25">
      <c r="A48" s="25">
        <v>5300</v>
      </c>
      <c r="B48" s="8" t="s">
        <v>48</v>
      </c>
      <c r="C48" s="15">
        <v>0</v>
      </c>
      <c r="D48" s="15">
        <v>0</v>
      </c>
      <c r="E48" s="15">
        <v>0</v>
      </c>
      <c r="F48" s="17">
        <f t="shared" si="0"/>
        <v>0</v>
      </c>
      <c r="G48" s="15">
        <v>0</v>
      </c>
      <c r="H48" s="15">
        <v>0</v>
      </c>
      <c r="I48" s="15">
        <v>0</v>
      </c>
      <c r="J48" s="15">
        <f t="shared" si="19"/>
        <v>0</v>
      </c>
      <c r="K48" s="17"/>
      <c r="L48" s="17">
        <f t="shared" ref="L48:L49" si="20">F48-H48</f>
        <v>0</v>
      </c>
    </row>
    <row r="49" spans="1:14" s="3" customFormat="1" ht="12" hidden="1" x14ac:dyDescent="0.25">
      <c r="A49" s="6">
        <v>5600</v>
      </c>
      <c r="B49" s="7" t="s">
        <v>41</v>
      </c>
      <c r="C49" s="15">
        <v>14000</v>
      </c>
      <c r="D49" s="15">
        <v>0</v>
      </c>
      <c r="E49" s="15">
        <v>0</v>
      </c>
      <c r="F49" s="17">
        <f t="shared" si="0"/>
        <v>14000</v>
      </c>
      <c r="G49" s="17">
        <v>0</v>
      </c>
      <c r="H49" s="17">
        <v>0</v>
      </c>
      <c r="I49" s="17">
        <v>0</v>
      </c>
      <c r="J49" s="15">
        <f t="shared" si="19"/>
        <v>0</v>
      </c>
      <c r="K49" s="17">
        <v>0</v>
      </c>
      <c r="L49" s="17">
        <f t="shared" si="20"/>
        <v>14000</v>
      </c>
    </row>
    <row r="50" spans="1:14" s="3" customFormat="1" ht="17.25" customHeight="1" x14ac:dyDescent="0.25">
      <c r="A50" s="13" t="s">
        <v>14</v>
      </c>
      <c r="B50" s="14"/>
      <c r="C50" s="16">
        <f>SUM(C46:C49)</f>
        <v>117420</v>
      </c>
      <c r="D50" s="16">
        <f t="shared" ref="D50:G50" si="21">SUM(D46:D49)</f>
        <v>0</v>
      </c>
      <c r="E50" s="16">
        <f t="shared" si="21"/>
        <v>0</v>
      </c>
      <c r="F50" s="16">
        <f t="shared" si="21"/>
        <v>117420</v>
      </c>
      <c r="G50" s="16">
        <f t="shared" si="21"/>
        <v>0</v>
      </c>
      <c r="H50" s="16">
        <f t="shared" ref="H50:I50" si="22">SUM(H46:H49)</f>
        <v>0</v>
      </c>
      <c r="I50" s="16">
        <f t="shared" si="22"/>
        <v>0</v>
      </c>
      <c r="J50" s="16">
        <f t="shared" ref="J50:L50" si="23">SUM(J46:J49)</f>
        <v>0</v>
      </c>
      <c r="K50" s="16">
        <f t="shared" si="23"/>
        <v>103420</v>
      </c>
      <c r="L50" s="16">
        <f t="shared" si="23"/>
        <v>117420</v>
      </c>
      <c r="N50" s="27"/>
    </row>
    <row r="51" spans="1:14" s="3" customFormat="1" ht="8.25" customHeight="1" x14ac:dyDescent="0.25">
      <c r="A51" s="20"/>
      <c r="B51" s="20"/>
      <c r="C51" s="21"/>
      <c r="D51" s="21"/>
      <c r="E51" s="21"/>
      <c r="F51" s="21"/>
      <c r="G51" s="18"/>
      <c r="H51" s="18"/>
      <c r="I51" s="18"/>
      <c r="J51" s="21"/>
      <c r="K51" s="18"/>
      <c r="L51" s="18"/>
    </row>
    <row r="52" spans="1:14" s="3" customFormat="1" ht="16.5" customHeight="1" x14ac:dyDescent="0.25">
      <c r="A52" s="68" t="s">
        <v>43</v>
      </c>
      <c r="B52" s="69"/>
      <c r="C52" s="19">
        <f>SUM(C50,C43,C33,C25,C45)</f>
        <v>121444711.17999999</v>
      </c>
      <c r="D52" s="19">
        <f t="shared" ref="D52:L52" si="24">SUM(D50,D43,D33,D25,D45)</f>
        <v>0</v>
      </c>
      <c r="E52" s="19">
        <f t="shared" si="24"/>
        <v>0</v>
      </c>
      <c r="F52" s="19">
        <f t="shared" si="24"/>
        <v>121444711.17999999</v>
      </c>
      <c r="G52" s="19">
        <f t="shared" si="24"/>
        <v>25885131.300000004</v>
      </c>
      <c r="H52" s="19">
        <f t="shared" ref="H52:I52" si="25">SUM(H50,H43,H33,H25,H45)</f>
        <v>25057574.590000004</v>
      </c>
      <c r="I52" s="19">
        <f t="shared" si="25"/>
        <v>24295540.860000003</v>
      </c>
      <c r="J52" s="19">
        <f>SUM(J50,J43,J33,J25,J45)</f>
        <v>24206850.860000003</v>
      </c>
      <c r="K52" s="19">
        <f t="shared" si="24"/>
        <v>95545579.88000001</v>
      </c>
      <c r="L52" s="19">
        <f t="shared" si="24"/>
        <v>96387136.590000004</v>
      </c>
    </row>
    <row r="53" spans="1:14" s="3" customFormat="1" ht="13.5" customHeight="1" x14ac:dyDescent="0.25">
      <c r="A53" s="58"/>
      <c r="B53" s="58"/>
      <c r="F53" s="63"/>
      <c r="H53" s="59"/>
      <c r="I53" s="27"/>
      <c r="J53" s="4"/>
      <c r="N53" s="4"/>
    </row>
    <row r="54" spans="1:14" s="58" customFormat="1" ht="13.5" customHeight="1" x14ac:dyDescent="0.25">
      <c r="F54" s="63"/>
      <c r="H54" s="59"/>
      <c r="I54" s="27"/>
      <c r="J54" s="59"/>
      <c r="N54" s="59"/>
    </row>
    <row r="55" spans="1:14" s="3" customFormat="1" ht="15.75" customHeight="1" x14ac:dyDescent="0.25">
      <c r="A55" s="95" t="s">
        <v>57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</row>
    <row r="56" spans="1:14" s="58" customFormat="1" ht="15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4" s="58" customFormat="1" ht="12" x14ac:dyDescent="0.25"/>
    <row r="58" spans="1:14" s="58" customFormat="1" ht="12" x14ac:dyDescent="0.25"/>
    <row r="59" spans="1:14" s="58" customFormat="1" ht="12" x14ac:dyDescent="0.25"/>
    <row r="60" spans="1:14" s="58" customFormat="1" ht="12" x14ac:dyDescent="0.25"/>
    <row r="61" spans="1:14" s="58" customFormat="1" ht="12" x14ac:dyDescent="0.25"/>
    <row r="62" spans="1:14" s="58" customFormat="1" ht="12" x14ac:dyDescent="0.25"/>
    <row r="63" spans="1:14" s="58" customFormat="1" ht="12" x14ac:dyDescent="0.25"/>
    <row r="64" spans="1:14" s="58" customFormat="1" ht="12" x14ac:dyDescent="0.25"/>
    <row r="65" s="58" customFormat="1" ht="12" x14ac:dyDescent="0.25"/>
    <row r="66" s="58" customFormat="1" ht="12" x14ac:dyDescent="0.25"/>
    <row r="67" s="58" customFormat="1" ht="12" x14ac:dyDescent="0.25"/>
    <row r="68" s="58" customFormat="1" ht="12" x14ac:dyDescent="0.25"/>
    <row r="69" s="58" customFormat="1" ht="12" x14ac:dyDescent="0.25"/>
    <row r="70" s="58" customFormat="1" ht="12" x14ac:dyDescent="0.25"/>
    <row r="71" s="58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  <row r="77" s="3" customFormat="1" ht="12" x14ac:dyDescent="0.25"/>
    <row r="78" s="3" customFormat="1" ht="12" x14ac:dyDescent="0.25"/>
    <row r="79" s="3" customFormat="1" ht="12" x14ac:dyDescent="0.25"/>
    <row r="80" s="3" customFormat="1" ht="12" x14ac:dyDescent="0.25"/>
    <row r="81" s="3" customFormat="1" ht="12" x14ac:dyDescent="0.25"/>
  </sheetData>
  <mergeCells count="18">
    <mergeCell ref="A52:B52"/>
    <mergeCell ref="A55:L55"/>
    <mergeCell ref="A9:L9"/>
    <mergeCell ref="A11:L11"/>
    <mergeCell ref="A12:L12"/>
    <mergeCell ref="A13:L13"/>
    <mergeCell ref="A17:B19"/>
    <mergeCell ref="C17:F17"/>
    <mergeCell ref="G17:G19"/>
    <mergeCell ref="H17:H19"/>
    <mergeCell ref="I17:I19"/>
    <mergeCell ref="J17:J19"/>
    <mergeCell ref="K17:K19"/>
    <mergeCell ref="L17:L19"/>
    <mergeCell ref="C18:C19"/>
    <mergeCell ref="D18:D19"/>
    <mergeCell ref="E18:E19"/>
    <mergeCell ref="F18:F19"/>
  </mergeCells>
  <printOptions horizontalCentered="1"/>
  <pageMargins left="0.51181102362204722" right="0.23622047244094491" top="0.39370078740157483" bottom="0.15748031496062992" header="0.31496062992125984" footer="0.15748031496062992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6"/>
  <sheetViews>
    <sheetView workbookViewId="0">
      <selection activeCell="A6" sqref="A6:L6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1.5703125" style="1" customWidth="1"/>
    <col min="4" max="4" width="11.28515625" style="1" customWidth="1"/>
    <col min="5" max="8" width="10.7109375" style="1" customWidth="1"/>
    <col min="9" max="9" width="10.85546875" style="1" customWidth="1"/>
    <col min="10" max="10" width="10.7109375" style="1" customWidth="1"/>
    <col min="11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77" t="s">
        <v>0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10" spans="1:12" ht="15" x14ac:dyDescent="0.25">
      <c r="A10" s="78" t="s">
        <v>61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25">
      <c r="A11" s="79" t="s">
        <v>65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x14ac:dyDescent="0.25">
      <c r="A12" s="79" t="s">
        <v>9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ht="8.25" customHeigh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8.25" customHeigh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x14ac:dyDescent="0.25">
      <c r="A15" s="24" t="s">
        <v>33</v>
      </c>
      <c r="B15" s="23" t="s">
        <v>38</v>
      </c>
      <c r="C15" s="24" t="s">
        <v>34</v>
      </c>
      <c r="D15" s="23" t="s">
        <v>36</v>
      </c>
      <c r="E15" s="47"/>
      <c r="F15" s="47"/>
      <c r="G15" s="24" t="s">
        <v>35</v>
      </c>
      <c r="H15" s="23" t="s">
        <v>37</v>
      </c>
      <c r="I15" s="47"/>
      <c r="J15" s="47"/>
      <c r="K15" s="47"/>
      <c r="L15" s="47"/>
    </row>
    <row r="16" spans="1:12" s="23" customFormat="1" ht="12.75" x14ac:dyDescent="0.25"/>
    <row r="17" spans="1:14" s="23" customFormat="1" ht="12.75" x14ac:dyDescent="0.25"/>
    <row r="18" spans="1:14" s="2" customFormat="1" ht="16.5" customHeight="1" x14ac:dyDescent="0.25">
      <c r="A18" s="80" t="s">
        <v>3</v>
      </c>
      <c r="B18" s="81"/>
      <c r="C18" s="86" t="s">
        <v>47</v>
      </c>
      <c r="D18" s="86"/>
      <c r="E18" s="86"/>
      <c r="F18" s="86"/>
      <c r="G18" s="87" t="s">
        <v>5</v>
      </c>
      <c r="H18" s="86" t="s">
        <v>2</v>
      </c>
      <c r="I18" s="73" t="s">
        <v>56</v>
      </c>
      <c r="J18" s="86" t="s">
        <v>6</v>
      </c>
      <c r="K18" s="71" t="s">
        <v>7</v>
      </c>
      <c r="L18" s="72" t="s">
        <v>8</v>
      </c>
    </row>
    <row r="19" spans="1:14" s="2" customFormat="1" ht="17.25" customHeight="1" x14ac:dyDescent="0.25">
      <c r="A19" s="82"/>
      <c r="B19" s="83"/>
      <c r="C19" s="73" t="s">
        <v>4</v>
      </c>
      <c r="D19" s="73" t="s">
        <v>55</v>
      </c>
      <c r="E19" s="73" t="s">
        <v>50</v>
      </c>
      <c r="F19" s="75" t="s">
        <v>1</v>
      </c>
      <c r="G19" s="87"/>
      <c r="H19" s="86"/>
      <c r="I19" s="88"/>
      <c r="J19" s="86"/>
      <c r="K19" s="71"/>
      <c r="L19" s="72"/>
    </row>
    <row r="20" spans="1:14" s="2" customFormat="1" ht="17.25" customHeight="1" x14ac:dyDescent="0.25">
      <c r="A20" s="84"/>
      <c r="B20" s="85"/>
      <c r="C20" s="74"/>
      <c r="D20" s="74"/>
      <c r="E20" s="74"/>
      <c r="F20" s="76"/>
      <c r="G20" s="87"/>
      <c r="H20" s="86"/>
      <c r="I20" s="74"/>
      <c r="J20" s="86"/>
      <c r="K20" s="71"/>
      <c r="L20" s="72"/>
    </row>
    <row r="21" spans="1:14" s="3" customFormat="1" ht="22.5" customHeight="1" x14ac:dyDescent="0.25">
      <c r="A21" s="48" t="s">
        <v>52</v>
      </c>
      <c r="B21" s="49"/>
      <c r="C21" s="50">
        <f>'x capitulo'!C51-'x capitulo'!C49</f>
        <v>121327291.17999999</v>
      </c>
      <c r="D21" s="50">
        <f>'x capitulo'!D51-'x capitulo'!D49</f>
        <v>0</v>
      </c>
      <c r="E21" s="50">
        <f>'x capitulo'!E51-'x capitulo'!E49</f>
        <v>0</v>
      </c>
      <c r="F21" s="50">
        <f>'x capitulo'!F51-'x capitulo'!F49</f>
        <v>121327291.17999999</v>
      </c>
      <c r="G21" s="50">
        <f>'x capitulo'!G51-'x capitulo'!G49</f>
        <v>25885131.300000004</v>
      </c>
      <c r="H21" s="50">
        <f>'x capitulo'!H51-'x capitulo'!H49</f>
        <v>25057574.590000004</v>
      </c>
      <c r="I21" s="50">
        <f>'x capitulo'!I51-'x capitulo'!I49</f>
        <v>24295540.860000003</v>
      </c>
      <c r="J21" s="50">
        <f>'x capitulo'!J51-'x capitulo'!J49</f>
        <v>24206850.860000003</v>
      </c>
      <c r="K21" s="50">
        <f>'x capitulo'!K51-'x capitulo'!K49</f>
        <v>95442159.879999995</v>
      </c>
      <c r="L21" s="50">
        <f>F21-H21</f>
        <v>96269716.589999989</v>
      </c>
      <c r="N21" s="27"/>
    </row>
    <row r="22" spans="1:14" s="3" customFormat="1" ht="12" customHeight="1" x14ac:dyDescent="0.25">
      <c r="A22" s="96"/>
      <c r="B22" s="9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4"/>
      <c r="N22" s="27"/>
    </row>
    <row r="23" spans="1:14" s="3" customFormat="1" ht="22.5" customHeight="1" x14ac:dyDescent="0.25">
      <c r="A23" s="52" t="s">
        <v>53</v>
      </c>
      <c r="B23" s="53"/>
      <c r="C23" s="51">
        <f>'x capitulo'!C49</f>
        <v>117420</v>
      </c>
      <c r="D23" s="51">
        <f>'x capitulo'!D49</f>
        <v>0</v>
      </c>
      <c r="E23" s="51">
        <f>'x capitulo'!E49</f>
        <v>0</v>
      </c>
      <c r="F23" s="51">
        <f>'x capitulo'!F49</f>
        <v>117420</v>
      </c>
      <c r="G23" s="51">
        <f>'x capitulo'!G49</f>
        <v>0</v>
      </c>
      <c r="H23" s="51">
        <f>'x capitulo'!H49</f>
        <v>0</v>
      </c>
      <c r="I23" s="51">
        <f>'x capitulo'!I49</f>
        <v>0</v>
      </c>
      <c r="J23" s="51">
        <f>'x capitulo'!J49</f>
        <v>0</v>
      </c>
      <c r="K23" s="51">
        <f>'x capitulo'!K49</f>
        <v>117420</v>
      </c>
      <c r="L23" s="51">
        <f>'x capitulo'!L49</f>
        <v>117420</v>
      </c>
      <c r="M23" s="4"/>
      <c r="N23" s="27"/>
    </row>
    <row r="24" spans="1:14" s="3" customFormat="1" ht="15.75" customHeight="1" x14ac:dyDescent="0.25">
      <c r="A24" s="96"/>
      <c r="B24" s="96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4"/>
      <c r="N24" s="27"/>
    </row>
    <row r="25" spans="1:14" s="3" customFormat="1" ht="31.5" customHeight="1" x14ac:dyDescent="0.25">
      <c r="A25" s="54" t="s">
        <v>54</v>
      </c>
      <c r="B25" s="55"/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f t="shared" ref="L25" si="0">F25-H25</f>
        <v>0</v>
      </c>
      <c r="N25" s="27"/>
    </row>
    <row r="26" spans="1:14" s="3" customFormat="1" ht="8.25" customHeight="1" x14ac:dyDescent="0.25">
      <c r="A26" s="20"/>
      <c r="B26" s="20"/>
      <c r="C26" s="21"/>
      <c r="D26" s="21"/>
      <c r="E26" s="21"/>
      <c r="F26" s="21"/>
      <c r="G26" s="18"/>
      <c r="H26" s="21"/>
      <c r="I26" s="21"/>
      <c r="J26" s="21"/>
      <c r="K26" s="18"/>
      <c r="L26" s="18"/>
    </row>
    <row r="27" spans="1:14" s="3" customFormat="1" ht="16.5" customHeight="1" x14ac:dyDescent="0.25">
      <c r="A27" s="68" t="s">
        <v>51</v>
      </c>
      <c r="B27" s="69"/>
      <c r="C27" s="19">
        <f t="shared" ref="C27:K27" si="1">SUM(C25,C23,C22,C21,C24)</f>
        <v>121444711.17999999</v>
      </c>
      <c r="D27" s="19">
        <f t="shared" si="1"/>
        <v>0</v>
      </c>
      <c r="E27" s="19">
        <f t="shared" si="1"/>
        <v>0</v>
      </c>
      <c r="F27" s="19">
        <f t="shared" si="1"/>
        <v>121444711.17999999</v>
      </c>
      <c r="G27" s="19">
        <f t="shared" si="1"/>
        <v>25885131.300000004</v>
      </c>
      <c r="H27" s="19">
        <f t="shared" si="1"/>
        <v>25057574.590000004</v>
      </c>
      <c r="I27" s="19">
        <f t="shared" si="1"/>
        <v>24295540.860000003</v>
      </c>
      <c r="J27" s="19">
        <f t="shared" si="1"/>
        <v>24206850.860000003</v>
      </c>
      <c r="K27" s="19">
        <f t="shared" si="1"/>
        <v>95559579.879999995</v>
      </c>
      <c r="L27" s="19">
        <f>L21+L22+L23+L24+L25</f>
        <v>96387136.589999989</v>
      </c>
    </row>
    <row r="28" spans="1:14" s="3" customFormat="1" ht="14.25" customHeight="1" x14ac:dyDescent="0.25">
      <c r="A28" s="58"/>
      <c r="B28" s="58"/>
      <c r="I28" s="4"/>
      <c r="J28" s="4"/>
      <c r="N28" s="4"/>
    </row>
    <row r="29" spans="1:14" s="3" customFormat="1" ht="13.5" customHeight="1" x14ac:dyDescent="0.2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4" s="3" customFormat="1" ht="13.5" customHeight="1" x14ac:dyDescent="0.25">
      <c r="A30" s="67" t="s">
        <v>57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4" s="3" customFormat="1" ht="13.5" customHeight="1" x14ac:dyDescent="0.25">
      <c r="B31" s="46"/>
      <c r="C31" s="46"/>
      <c r="D31" s="46"/>
      <c r="E31" s="46"/>
      <c r="F31" s="46"/>
      <c r="G31" s="46"/>
      <c r="H31" s="45"/>
      <c r="I31" s="45"/>
      <c r="J31" s="46"/>
      <c r="K31" s="46"/>
      <c r="L31" s="46"/>
    </row>
    <row r="32" spans="1:14" s="58" customFormat="1" ht="13.5" customHeight="1" x14ac:dyDescent="0.25">
      <c r="B32" s="57"/>
      <c r="C32" s="57"/>
      <c r="D32" s="57"/>
      <c r="E32" s="57"/>
      <c r="F32" s="57"/>
      <c r="G32" s="57"/>
      <c r="H32" s="45"/>
      <c r="I32" s="45"/>
      <c r="J32" s="57"/>
      <c r="K32" s="57"/>
      <c r="L32" s="57"/>
    </row>
    <row r="33" spans="2:12" s="58" customFormat="1" ht="13.5" customHeight="1" x14ac:dyDescent="0.25">
      <c r="B33" s="57"/>
      <c r="C33" s="57"/>
      <c r="D33" s="57"/>
      <c r="E33" s="57"/>
      <c r="F33" s="57"/>
      <c r="G33" s="57"/>
      <c r="H33" s="45"/>
      <c r="I33" s="45"/>
      <c r="J33" s="57"/>
      <c r="K33" s="57"/>
      <c r="L33" s="57"/>
    </row>
    <row r="34" spans="2:12" s="58" customFormat="1" ht="13.5" customHeight="1" x14ac:dyDescent="0.25">
      <c r="B34" s="62"/>
      <c r="C34" s="62"/>
      <c r="D34" s="62"/>
      <c r="E34" s="62"/>
      <c r="F34" s="62"/>
      <c r="G34" s="62"/>
      <c r="H34" s="45"/>
      <c r="I34" s="45"/>
      <c r="J34" s="62"/>
      <c r="K34" s="62"/>
      <c r="L34" s="62"/>
    </row>
    <row r="35" spans="2:12" s="58" customFormat="1" ht="13.5" customHeight="1" x14ac:dyDescent="0.25">
      <c r="B35" s="62"/>
      <c r="C35" s="62"/>
      <c r="D35" s="62"/>
      <c r="E35" s="62"/>
      <c r="F35" s="62"/>
      <c r="G35" s="62"/>
      <c r="H35" s="45"/>
      <c r="I35" s="45"/>
      <c r="J35" s="62"/>
      <c r="K35" s="62"/>
      <c r="L35" s="62"/>
    </row>
    <row r="36" spans="2:12" s="58" customFormat="1" ht="13.5" customHeight="1" x14ac:dyDescent="0.25">
      <c r="B36" s="62"/>
      <c r="C36" s="62"/>
      <c r="D36" s="62"/>
      <c r="E36" s="62"/>
      <c r="F36" s="62"/>
      <c r="G36" s="62"/>
      <c r="H36" s="45"/>
      <c r="I36" s="45"/>
      <c r="J36" s="62"/>
      <c r="K36" s="62"/>
      <c r="L36" s="62"/>
    </row>
    <row r="37" spans="2:12" s="3" customFormat="1" ht="12" x14ac:dyDescent="0.25"/>
    <row r="38" spans="2:12" s="3" customFormat="1" ht="12" x14ac:dyDescent="0.25"/>
    <row r="39" spans="2:12" s="3" customFormat="1" ht="12" x14ac:dyDescent="0.25"/>
    <row r="40" spans="2:12" s="3" customFormat="1" ht="12" x14ac:dyDescent="0.25"/>
    <row r="41" spans="2:12" s="3" customFormat="1" ht="12" x14ac:dyDescent="0.25"/>
    <row r="42" spans="2:12" s="3" customFormat="1" ht="12" x14ac:dyDescent="0.25"/>
    <row r="43" spans="2:12" s="3" customFormat="1" ht="12" x14ac:dyDescent="0.25"/>
    <row r="44" spans="2:12" s="3" customFormat="1" ht="12" x14ac:dyDescent="0.25"/>
    <row r="45" spans="2:12" s="3" customFormat="1" ht="12" x14ac:dyDescent="0.25"/>
    <row r="46" spans="2:12" s="3" customFormat="1" ht="12" x14ac:dyDescent="0.25"/>
    <row r="47" spans="2:12" s="3" customFormat="1" ht="12" x14ac:dyDescent="0.25"/>
    <row r="48" spans="2:12" s="3" customFormat="1" ht="12" x14ac:dyDescent="0.25"/>
    <row r="49" s="3" customFormat="1" ht="12" x14ac:dyDescent="0.25"/>
    <row r="50" s="3" customFormat="1" ht="12" x14ac:dyDescent="0.25"/>
    <row r="51" s="3" customFormat="1" ht="12" x14ac:dyDescent="0.25"/>
    <row r="52" s="3" customFormat="1" ht="12" x14ac:dyDescent="0.25"/>
    <row r="53" s="3" customFormat="1" ht="12" x14ac:dyDescent="0.25"/>
    <row r="54" s="3" customFormat="1" ht="12" x14ac:dyDescent="0.25"/>
    <row r="55" s="3" customFormat="1" ht="12" x14ac:dyDescent="0.25"/>
    <row r="56" s="3" customFormat="1" ht="12" x14ac:dyDescent="0.25"/>
    <row r="57" s="3" customFormat="1" ht="12" x14ac:dyDescent="0.25"/>
    <row r="58" s="3" customFormat="1" ht="12" x14ac:dyDescent="0.25"/>
    <row r="59" s="3" customFormat="1" ht="12" x14ac:dyDescent="0.25"/>
    <row r="60" s="3" customFormat="1" ht="12" x14ac:dyDescent="0.25"/>
    <row r="61" s="3" customFormat="1" ht="12" x14ac:dyDescent="0.25"/>
    <row r="62" s="3" customFormat="1" ht="12" x14ac:dyDescent="0.25"/>
    <row r="63" s="3" customFormat="1" ht="12" x14ac:dyDescent="0.25"/>
    <row r="64" s="3" customFormat="1" ht="12" x14ac:dyDescent="0.25"/>
    <row r="65" s="3" customFormat="1" ht="12" x14ac:dyDescent="0.25"/>
    <row r="66" s="3" customFormat="1" ht="12" x14ac:dyDescent="0.25"/>
    <row r="67" s="3" customFormat="1" ht="12" x14ac:dyDescent="0.25"/>
    <row r="68" s="3" customFormat="1" ht="12" x14ac:dyDescent="0.25"/>
    <row r="69" s="3" customFormat="1" ht="12" x14ac:dyDescent="0.25"/>
    <row r="70" s="3" customFormat="1" ht="12" x14ac:dyDescent="0.25"/>
    <row r="71" s="3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</sheetData>
  <mergeCells count="21">
    <mergeCell ref="A7:L7"/>
    <mergeCell ref="A10:L10"/>
    <mergeCell ref="A11:L11"/>
    <mergeCell ref="A12:L12"/>
    <mergeCell ref="A18:B20"/>
    <mergeCell ref="C18:F18"/>
    <mergeCell ref="G18:G20"/>
    <mergeCell ref="H18:H20"/>
    <mergeCell ref="I18:I20"/>
    <mergeCell ref="J18:J20"/>
    <mergeCell ref="K18:K20"/>
    <mergeCell ref="L18:L20"/>
    <mergeCell ref="C19:C20"/>
    <mergeCell ref="D19:D20"/>
    <mergeCell ref="E19:E20"/>
    <mergeCell ref="F19:F20"/>
    <mergeCell ref="A30:L30"/>
    <mergeCell ref="A27:B27"/>
    <mergeCell ref="B29:L29"/>
    <mergeCell ref="A22:B22"/>
    <mergeCell ref="A24:B24"/>
  </mergeCells>
  <printOptions horizontalCentered="1"/>
  <pageMargins left="0.51181102362204722" right="0.23622047244094491" top="0.73" bottom="0.15748031496062992" header="0.31496062992125984" footer="0.15748031496062992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113"/>
  <sheetViews>
    <sheetView workbookViewId="0">
      <selection activeCell="A6" sqref="A6:L6"/>
    </sheetView>
  </sheetViews>
  <sheetFormatPr baseColWidth="10" defaultRowHeight="15" x14ac:dyDescent="0.25"/>
  <cols>
    <col min="1" max="1" width="8.1406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77" t="s">
        <v>0</v>
      </c>
      <c r="B7" s="77"/>
      <c r="C7" s="77"/>
      <c r="D7" s="77"/>
      <c r="E7" s="77"/>
      <c r="F7" s="77"/>
      <c r="G7" s="77"/>
      <c r="H7" s="77"/>
      <c r="I7" s="77"/>
      <c r="J7" s="97"/>
      <c r="K7" s="97"/>
      <c r="L7" s="97"/>
    </row>
    <row r="10" spans="1:12" x14ac:dyDescent="0.25">
      <c r="A10" s="78" t="s">
        <v>68</v>
      </c>
      <c r="B10" s="78"/>
      <c r="C10" s="78"/>
      <c r="D10" s="78"/>
      <c r="E10" s="78"/>
      <c r="F10" s="78"/>
      <c r="G10" s="78"/>
      <c r="H10" s="78"/>
      <c r="I10" s="78"/>
      <c r="J10" s="98"/>
      <c r="K10" s="98"/>
      <c r="L10" s="98"/>
    </row>
    <row r="11" spans="1:12" ht="14.25" x14ac:dyDescent="0.25">
      <c r="A11" s="79" t="s">
        <v>69</v>
      </c>
      <c r="B11" s="79"/>
      <c r="C11" s="79"/>
      <c r="D11" s="79"/>
      <c r="E11" s="79"/>
      <c r="F11" s="79"/>
      <c r="G11" s="79"/>
      <c r="H11" s="79"/>
      <c r="I11" s="79"/>
    </row>
    <row r="12" spans="1:12" ht="14.25" x14ac:dyDescent="0.25">
      <c r="A12" s="79" t="s">
        <v>112</v>
      </c>
      <c r="B12" s="79"/>
      <c r="C12" s="79"/>
      <c r="D12" s="79"/>
      <c r="E12" s="79"/>
      <c r="F12" s="79"/>
      <c r="G12" s="79"/>
      <c r="H12" s="79"/>
      <c r="I12" s="79"/>
    </row>
    <row r="13" spans="1:12" ht="14.25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4.25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s="99" customFormat="1" ht="14.25" x14ac:dyDescent="0.2">
      <c r="B15" s="100" t="s">
        <v>3</v>
      </c>
      <c r="C15" s="101"/>
      <c r="D15" s="102" t="s">
        <v>71</v>
      </c>
      <c r="E15" s="103"/>
      <c r="F15" s="103"/>
      <c r="G15" s="103"/>
      <c r="H15" s="104"/>
      <c r="I15" s="105" t="s">
        <v>72</v>
      </c>
    </row>
    <row r="16" spans="1:12" s="99" customFormat="1" ht="24" x14ac:dyDescent="0.2">
      <c r="B16" s="106"/>
      <c r="C16" s="107"/>
      <c r="D16" s="108" t="s">
        <v>73</v>
      </c>
      <c r="E16" s="109" t="s">
        <v>74</v>
      </c>
      <c r="F16" s="108" t="s">
        <v>1</v>
      </c>
      <c r="G16" s="108" t="s">
        <v>2</v>
      </c>
      <c r="H16" s="108" t="s">
        <v>6</v>
      </c>
      <c r="I16" s="110"/>
    </row>
    <row r="17" spans="2:9" s="99" customFormat="1" ht="14.25" x14ac:dyDescent="0.2">
      <c r="B17" s="111"/>
      <c r="C17" s="112"/>
      <c r="D17" s="108">
        <v>1</v>
      </c>
      <c r="E17" s="108">
        <v>2</v>
      </c>
      <c r="F17" s="108" t="s">
        <v>75</v>
      </c>
      <c r="G17" s="108">
        <v>4</v>
      </c>
      <c r="H17" s="108">
        <v>5</v>
      </c>
      <c r="I17" s="113" t="s">
        <v>76</v>
      </c>
    </row>
    <row r="18" spans="2:9" s="99" customFormat="1" ht="14.25" x14ac:dyDescent="0.2">
      <c r="B18" s="114"/>
      <c r="C18" s="115"/>
      <c r="D18" s="116"/>
      <c r="E18" s="116"/>
      <c r="F18" s="116"/>
      <c r="G18" s="116"/>
      <c r="H18" s="116"/>
      <c r="I18" s="116"/>
    </row>
    <row r="19" spans="2:9" s="99" customFormat="1" ht="14.25" x14ac:dyDescent="0.2">
      <c r="B19" s="117" t="s">
        <v>77</v>
      </c>
      <c r="C19" s="118"/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</row>
    <row r="20" spans="2:9" s="99" customFormat="1" ht="14.25" x14ac:dyDescent="0.2">
      <c r="B20" s="120" t="s">
        <v>78</v>
      </c>
      <c r="C20" s="121"/>
      <c r="D20" s="122"/>
      <c r="E20" s="122"/>
      <c r="F20" s="123">
        <v>0</v>
      </c>
      <c r="G20" s="122"/>
      <c r="H20" s="122"/>
      <c r="I20" s="123">
        <v>0</v>
      </c>
    </row>
    <row r="21" spans="2:9" s="99" customFormat="1" ht="14.25" x14ac:dyDescent="0.2">
      <c r="B21" s="120" t="s">
        <v>79</v>
      </c>
      <c r="C21" s="121"/>
      <c r="D21" s="122"/>
      <c r="E21" s="122"/>
      <c r="F21" s="123">
        <v>0</v>
      </c>
      <c r="G21" s="122"/>
      <c r="H21" s="122"/>
      <c r="I21" s="123">
        <v>0</v>
      </c>
    </row>
    <row r="22" spans="2:9" s="99" customFormat="1" ht="14.25" x14ac:dyDescent="0.2">
      <c r="B22" s="120" t="s">
        <v>80</v>
      </c>
      <c r="C22" s="121"/>
      <c r="D22" s="122"/>
      <c r="E22" s="122"/>
      <c r="F22" s="123">
        <v>0</v>
      </c>
      <c r="G22" s="122"/>
      <c r="H22" s="122"/>
      <c r="I22" s="123">
        <v>0</v>
      </c>
    </row>
    <row r="23" spans="2:9" s="99" customFormat="1" ht="14.25" x14ac:dyDescent="0.2">
      <c r="B23" s="120" t="s">
        <v>81</v>
      </c>
      <c r="C23" s="121"/>
      <c r="D23" s="122"/>
      <c r="E23" s="122"/>
      <c r="F23" s="123">
        <v>0</v>
      </c>
      <c r="G23" s="122"/>
      <c r="H23" s="122"/>
      <c r="I23" s="123">
        <v>0</v>
      </c>
    </row>
    <row r="24" spans="2:9" s="99" customFormat="1" ht="14.25" x14ac:dyDescent="0.2">
      <c r="B24" s="120" t="s">
        <v>82</v>
      </c>
      <c r="C24" s="121"/>
      <c r="D24" s="122"/>
      <c r="E24" s="122"/>
      <c r="F24" s="123">
        <v>0</v>
      </c>
      <c r="G24" s="122"/>
      <c r="H24" s="122"/>
      <c r="I24" s="123">
        <v>0</v>
      </c>
    </row>
    <row r="25" spans="2:9" s="99" customFormat="1" ht="14.25" x14ac:dyDescent="0.2">
      <c r="B25" s="120" t="s">
        <v>83</v>
      </c>
      <c r="C25" s="121"/>
      <c r="D25" s="122"/>
      <c r="E25" s="122"/>
      <c r="F25" s="123">
        <v>0</v>
      </c>
      <c r="G25" s="122"/>
      <c r="H25" s="122"/>
      <c r="I25" s="123">
        <v>0</v>
      </c>
    </row>
    <row r="26" spans="2:9" s="99" customFormat="1" ht="14.25" x14ac:dyDescent="0.2">
      <c r="B26" s="120" t="s">
        <v>84</v>
      </c>
      <c r="C26" s="121"/>
      <c r="D26" s="122"/>
      <c r="E26" s="122"/>
      <c r="F26" s="123">
        <v>0</v>
      </c>
      <c r="G26" s="122"/>
      <c r="H26" s="122"/>
      <c r="I26" s="123">
        <v>0</v>
      </c>
    </row>
    <row r="27" spans="2:9" s="99" customFormat="1" ht="14.25" x14ac:dyDescent="0.2">
      <c r="B27" s="120" t="s">
        <v>85</v>
      </c>
      <c r="C27" s="121"/>
      <c r="D27" s="122"/>
      <c r="E27" s="122"/>
      <c r="F27" s="123">
        <v>0</v>
      </c>
      <c r="G27" s="122"/>
      <c r="H27" s="122"/>
      <c r="I27" s="123">
        <v>0</v>
      </c>
    </row>
    <row r="28" spans="2:9" s="99" customFormat="1" ht="14.25" x14ac:dyDescent="0.2">
      <c r="B28" s="124"/>
      <c r="C28" s="125"/>
      <c r="D28" s="126"/>
      <c r="E28" s="126"/>
      <c r="F28" s="126"/>
      <c r="G28" s="126"/>
      <c r="H28" s="126"/>
      <c r="I28" s="126"/>
    </row>
    <row r="29" spans="2:9" s="99" customFormat="1" ht="14.25" x14ac:dyDescent="0.2">
      <c r="B29" s="117" t="s">
        <v>86</v>
      </c>
      <c r="C29" s="118"/>
      <c r="D29" s="119">
        <v>121444711.17999999</v>
      </c>
      <c r="E29" s="119">
        <v>0</v>
      </c>
      <c r="F29" s="119">
        <v>121444711.17999999</v>
      </c>
      <c r="G29" s="119">
        <v>25057574.590000004</v>
      </c>
      <c r="H29" s="119">
        <v>24206850.860000003</v>
      </c>
      <c r="I29" s="119">
        <v>96387136.589999989</v>
      </c>
    </row>
    <row r="30" spans="2:9" s="99" customFormat="1" ht="14.25" x14ac:dyDescent="0.2">
      <c r="B30" s="120" t="s">
        <v>87</v>
      </c>
      <c r="C30" s="121"/>
      <c r="D30" s="127"/>
      <c r="E30" s="127"/>
      <c r="F30" s="123">
        <v>0</v>
      </c>
      <c r="G30" s="127"/>
      <c r="H30" s="127"/>
      <c r="I30" s="123">
        <v>0</v>
      </c>
    </row>
    <row r="31" spans="2:9" s="99" customFormat="1" ht="14.25" x14ac:dyDescent="0.2">
      <c r="B31" s="120" t="s">
        <v>88</v>
      </c>
      <c r="C31" s="121"/>
      <c r="D31" s="127"/>
      <c r="E31" s="127"/>
      <c r="F31" s="123">
        <v>0</v>
      </c>
      <c r="G31" s="127"/>
      <c r="H31" s="127"/>
      <c r="I31" s="123">
        <v>0</v>
      </c>
    </row>
    <row r="32" spans="2:9" s="99" customFormat="1" ht="14.25" x14ac:dyDescent="0.2">
      <c r="B32" s="120" t="s">
        <v>89</v>
      </c>
      <c r="C32" s="121"/>
      <c r="D32" s="127"/>
      <c r="E32" s="127"/>
      <c r="F32" s="123">
        <v>0</v>
      </c>
      <c r="G32" s="127"/>
      <c r="H32" s="127"/>
      <c r="I32" s="123">
        <v>0</v>
      </c>
    </row>
    <row r="33" spans="2:9" s="99" customFormat="1" ht="14.25" x14ac:dyDescent="0.2">
      <c r="B33" s="120" t="s">
        <v>90</v>
      </c>
      <c r="C33" s="121"/>
      <c r="D33" s="127"/>
      <c r="E33" s="127"/>
      <c r="F33" s="123">
        <v>0</v>
      </c>
      <c r="G33" s="127"/>
      <c r="H33" s="127"/>
      <c r="I33" s="123">
        <v>0</v>
      </c>
    </row>
    <row r="34" spans="2:9" s="99" customFormat="1" ht="14.25" x14ac:dyDescent="0.2">
      <c r="B34" s="120" t="s">
        <v>91</v>
      </c>
      <c r="C34" s="121"/>
      <c r="D34" s="127">
        <v>121444711.17999999</v>
      </c>
      <c r="E34" s="127">
        <v>0</v>
      </c>
      <c r="F34" s="123">
        <v>121444711.17999999</v>
      </c>
      <c r="G34" s="127">
        <v>25057574.590000004</v>
      </c>
      <c r="H34" s="127">
        <v>24206850.860000003</v>
      </c>
      <c r="I34" s="123">
        <v>96387136.589999989</v>
      </c>
    </row>
    <row r="35" spans="2:9" s="99" customFormat="1" ht="14.25" x14ac:dyDescent="0.2">
      <c r="B35" s="120" t="s">
        <v>92</v>
      </c>
      <c r="C35" s="121"/>
      <c r="D35" s="127"/>
      <c r="E35" s="127"/>
      <c r="F35" s="123">
        <v>0</v>
      </c>
      <c r="G35" s="127"/>
      <c r="H35" s="127"/>
      <c r="I35" s="123">
        <v>0</v>
      </c>
    </row>
    <row r="36" spans="2:9" s="99" customFormat="1" ht="14.25" x14ac:dyDescent="0.2">
      <c r="B36" s="120" t="s">
        <v>93</v>
      </c>
      <c r="C36" s="121"/>
      <c r="D36" s="127"/>
      <c r="E36" s="127"/>
      <c r="F36" s="123">
        <v>0</v>
      </c>
      <c r="G36" s="127"/>
      <c r="H36" s="127"/>
      <c r="I36" s="123">
        <v>0</v>
      </c>
    </row>
    <row r="37" spans="2:9" s="99" customFormat="1" ht="14.25" x14ac:dyDescent="0.2">
      <c r="B37" s="124"/>
      <c r="C37" s="125"/>
      <c r="D37" s="128"/>
      <c r="E37" s="128"/>
      <c r="F37" s="126"/>
      <c r="G37" s="128"/>
      <c r="H37" s="128"/>
      <c r="I37" s="128"/>
    </row>
    <row r="38" spans="2:9" s="99" customFormat="1" ht="14.25" x14ac:dyDescent="0.2">
      <c r="B38" s="117" t="s">
        <v>94</v>
      </c>
      <c r="C38" s="118"/>
      <c r="D38" s="129">
        <v>0</v>
      </c>
      <c r="E38" s="129">
        <v>0</v>
      </c>
      <c r="F38" s="129">
        <v>0</v>
      </c>
      <c r="G38" s="129">
        <v>0</v>
      </c>
      <c r="H38" s="129">
        <v>0</v>
      </c>
      <c r="I38" s="129">
        <v>0</v>
      </c>
    </row>
    <row r="39" spans="2:9" s="99" customFormat="1" ht="14.25" x14ac:dyDescent="0.2">
      <c r="B39" s="120" t="s">
        <v>95</v>
      </c>
      <c r="C39" s="121"/>
      <c r="D39" s="127"/>
      <c r="E39" s="127"/>
      <c r="F39" s="123">
        <v>0</v>
      </c>
      <c r="G39" s="127"/>
      <c r="H39" s="127"/>
      <c r="I39" s="123">
        <v>0</v>
      </c>
    </row>
    <row r="40" spans="2:9" s="99" customFormat="1" ht="14.25" x14ac:dyDescent="0.2">
      <c r="B40" s="120" t="s">
        <v>96</v>
      </c>
      <c r="C40" s="121"/>
      <c r="D40" s="127"/>
      <c r="E40" s="127"/>
      <c r="F40" s="123">
        <v>0</v>
      </c>
      <c r="G40" s="127"/>
      <c r="H40" s="127"/>
      <c r="I40" s="123">
        <v>0</v>
      </c>
    </row>
    <row r="41" spans="2:9" s="99" customFormat="1" ht="14.25" x14ac:dyDescent="0.2">
      <c r="B41" s="120" t="s">
        <v>97</v>
      </c>
      <c r="C41" s="121"/>
      <c r="D41" s="127"/>
      <c r="E41" s="127"/>
      <c r="F41" s="123">
        <v>0</v>
      </c>
      <c r="G41" s="127"/>
      <c r="H41" s="127"/>
      <c r="I41" s="123">
        <v>0</v>
      </c>
    </row>
    <row r="42" spans="2:9" s="99" customFormat="1" ht="14.25" x14ac:dyDescent="0.2">
      <c r="B42" s="120" t="s">
        <v>98</v>
      </c>
      <c r="C42" s="121"/>
      <c r="D42" s="127"/>
      <c r="E42" s="127"/>
      <c r="F42" s="123">
        <v>0</v>
      </c>
      <c r="G42" s="127"/>
      <c r="H42" s="127"/>
      <c r="I42" s="123">
        <v>0</v>
      </c>
    </row>
    <row r="43" spans="2:9" s="99" customFormat="1" ht="14.25" x14ac:dyDescent="0.2">
      <c r="B43" s="120" t="s">
        <v>99</v>
      </c>
      <c r="C43" s="121"/>
      <c r="D43" s="127"/>
      <c r="E43" s="127"/>
      <c r="F43" s="123">
        <v>0</v>
      </c>
      <c r="G43" s="127"/>
      <c r="H43" s="127"/>
      <c r="I43" s="123">
        <v>0</v>
      </c>
    </row>
    <row r="44" spans="2:9" s="99" customFormat="1" ht="14.25" x14ac:dyDescent="0.2">
      <c r="B44" s="120" t="s">
        <v>100</v>
      </c>
      <c r="C44" s="121"/>
      <c r="D44" s="127"/>
      <c r="E44" s="127"/>
      <c r="F44" s="123">
        <v>0</v>
      </c>
      <c r="G44" s="127"/>
      <c r="H44" s="127"/>
      <c r="I44" s="123">
        <v>0</v>
      </c>
    </row>
    <row r="45" spans="2:9" s="99" customFormat="1" ht="14.25" x14ac:dyDescent="0.2">
      <c r="B45" s="120" t="s">
        <v>101</v>
      </c>
      <c r="C45" s="121"/>
      <c r="D45" s="127"/>
      <c r="E45" s="127"/>
      <c r="F45" s="123">
        <v>0</v>
      </c>
      <c r="G45" s="127"/>
      <c r="H45" s="127"/>
      <c r="I45" s="123">
        <v>0</v>
      </c>
    </row>
    <row r="46" spans="2:9" s="99" customFormat="1" ht="14.25" x14ac:dyDescent="0.2">
      <c r="B46" s="120" t="s">
        <v>102</v>
      </c>
      <c r="C46" s="121"/>
      <c r="D46" s="127"/>
      <c r="E46" s="127"/>
      <c r="F46" s="123">
        <v>0</v>
      </c>
      <c r="G46" s="127"/>
      <c r="H46" s="127"/>
      <c r="I46" s="123">
        <v>0</v>
      </c>
    </row>
    <row r="47" spans="2:9" s="99" customFormat="1" ht="14.25" x14ac:dyDescent="0.2">
      <c r="B47" s="120" t="s">
        <v>103</v>
      </c>
      <c r="C47" s="121"/>
      <c r="D47" s="127"/>
      <c r="E47" s="127"/>
      <c r="F47" s="123">
        <v>0</v>
      </c>
      <c r="G47" s="127"/>
      <c r="H47" s="127"/>
      <c r="I47" s="123">
        <v>0</v>
      </c>
    </row>
    <row r="48" spans="2:9" s="99" customFormat="1" ht="14.25" x14ac:dyDescent="0.2">
      <c r="B48" s="124"/>
      <c r="C48" s="125"/>
      <c r="D48" s="128"/>
      <c r="E48" s="128"/>
      <c r="F48" s="128"/>
      <c r="G48" s="128"/>
      <c r="H48" s="128"/>
      <c r="I48" s="128"/>
    </row>
    <row r="49" spans="1:14" s="99" customFormat="1" ht="14.25" x14ac:dyDescent="0.2">
      <c r="B49" s="117" t="s">
        <v>104</v>
      </c>
      <c r="C49" s="118"/>
      <c r="D49" s="129">
        <v>0</v>
      </c>
      <c r="E49" s="129">
        <v>0</v>
      </c>
      <c r="F49" s="129">
        <v>0</v>
      </c>
      <c r="G49" s="130">
        <v>0</v>
      </c>
      <c r="H49" s="129">
        <v>0</v>
      </c>
      <c r="I49" s="129">
        <v>0</v>
      </c>
    </row>
    <row r="50" spans="1:14" s="99" customFormat="1" ht="15" customHeight="1" x14ac:dyDescent="0.2">
      <c r="B50" s="120" t="s">
        <v>105</v>
      </c>
      <c r="C50" s="121"/>
      <c r="D50" s="127"/>
      <c r="E50" s="127"/>
      <c r="F50" s="123">
        <v>0</v>
      </c>
      <c r="G50" s="127"/>
      <c r="H50" s="127"/>
      <c r="I50" s="123">
        <v>0</v>
      </c>
    </row>
    <row r="51" spans="1:14" s="99" customFormat="1" ht="27.75" customHeight="1" x14ac:dyDescent="0.2">
      <c r="B51" s="166" t="s">
        <v>106</v>
      </c>
      <c r="C51" s="167"/>
      <c r="D51" s="127"/>
      <c r="E51" s="127"/>
      <c r="F51" s="123">
        <v>0</v>
      </c>
      <c r="G51" s="127"/>
      <c r="H51" s="127"/>
      <c r="I51" s="123">
        <v>0</v>
      </c>
    </row>
    <row r="52" spans="1:14" s="99" customFormat="1" ht="15" customHeight="1" x14ac:dyDescent="0.2">
      <c r="B52" s="120" t="s">
        <v>107</v>
      </c>
      <c r="C52" s="121"/>
      <c r="D52" s="127"/>
      <c r="E52" s="127"/>
      <c r="F52" s="123">
        <v>0</v>
      </c>
      <c r="G52" s="127"/>
      <c r="H52" s="127"/>
      <c r="I52" s="123">
        <v>0</v>
      </c>
    </row>
    <row r="53" spans="1:14" s="99" customFormat="1" ht="15" customHeight="1" x14ac:dyDescent="0.2">
      <c r="B53" s="120" t="s">
        <v>108</v>
      </c>
      <c r="C53" s="121"/>
      <c r="D53" s="127"/>
      <c r="E53" s="127"/>
      <c r="F53" s="123">
        <v>0</v>
      </c>
      <c r="G53" s="127"/>
      <c r="H53" s="127"/>
      <c r="I53" s="123">
        <v>0</v>
      </c>
    </row>
    <row r="54" spans="1:14" s="99" customFormat="1" ht="14.25" x14ac:dyDescent="0.2">
      <c r="B54" s="131"/>
      <c r="C54" s="132"/>
      <c r="D54" s="133"/>
      <c r="E54" s="133"/>
      <c r="F54" s="133"/>
      <c r="G54" s="133"/>
      <c r="H54" s="133"/>
      <c r="I54" s="133"/>
    </row>
    <row r="55" spans="1:14" s="99" customFormat="1" ht="14.25" x14ac:dyDescent="0.2">
      <c r="B55" s="134"/>
      <c r="C55" s="135" t="s">
        <v>109</v>
      </c>
      <c r="D55" s="136">
        <v>121444711.17999999</v>
      </c>
      <c r="E55" s="136">
        <v>0</v>
      </c>
      <c r="F55" s="136">
        <v>121444711.17999999</v>
      </c>
      <c r="G55" s="136">
        <v>25057574.590000004</v>
      </c>
      <c r="H55" s="136">
        <v>24206850.860000003</v>
      </c>
      <c r="I55" s="136">
        <v>96387136.589999989</v>
      </c>
    </row>
    <row r="56" spans="1:14" s="58" customFormat="1" ht="14.25" customHeight="1" x14ac:dyDescent="0.25">
      <c r="I56" s="59"/>
      <c r="J56" s="59"/>
      <c r="N56" s="59"/>
    </row>
    <row r="57" spans="1:14" s="58" customFormat="1" ht="13.5" customHeight="1" x14ac:dyDescent="0.25"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</row>
    <row r="58" spans="1:14" s="58" customFormat="1" ht="13.5" customHeight="1" x14ac:dyDescent="0.25">
      <c r="A58" s="67" t="s">
        <v>57</v>
      </c>
      <c r="B58" s="67"/>
      <c r="C58" s="67"/>
      <c r="D58" s="67"/>
      <c r="E58" s="67"/>
      <c r="F58" s="67"/>
      <c r="G58" s="67"/>
      <c r="H58" s="67"/>
      <c r="I58" s="67"/>
      <c r="J58" s="137"/>
      <c r="K58" s="137"/>
      <c r="L58" s="137"/>
    </row>
    <row r="59" spans="1:14" s="58" customFormat="1" ht="13.5" customHeight="1" x14ac:dyDescent="0.25">
      <c r="B59" s="66"/>
      <c r="C59" s="66"/>
      <c r="D59" s="66"/>
      <c r="E59" s="66"/>
      <c r="F59" s="66"/>
      <c r="G59" s="66"/>
      <c r="H59" s="45"/>
      <c r="I59" s="45"/>
      <c r="J59" s="66"/>
      <c r="K59" s="66"/>
      <c r="L59" s="66"/>
    </row>
    <row r="60" spans="1:14" s="58" customFormat="1" ht="13.5" customHeight="1" x14ac:dyDescent="0.25">
      <c r="B60" s="66"/>
      <c r="C60" s="66"/>
      <c r="D60" s="66"/>
      <c r="E60" s="66"/>
      <c r="F60" s="66"/>
      <c r="G60" s="66"/>
      <c r="H60" s="45"/>
      <c r="I60" s="45"/>
      <c r="J60" s="66"/>
      <c r="K60" s="66"/>
      <c r="L60" s="66"/>
    </row>
    <row r="61" spans="1:14" s="58" customFormat="1" ht="13.5" customHeight="1" x14ac:dyDescent="0.25">
      <c r="B61" s="66"/>
      <c r="C61" s="66"/>
      <c r="D61" s="66"/>
      <c r="E61" s="66"/>
      <c r="F61" s="66"/>
      <c r="G61" s="66"/>
      <c r="H61" s="45"/>
      <c r="I61" s="45"/>
      <c r="J61" s="66"/>
      <c r="K61" s="66"/>
      <c r="L61" s="66"/>
    </row>
    <row r="62" spans="1:14" s="58" customFormat="1" ht="13.5" customHeight="1" x14ac:dyDescent="0.25">
      <c r="B62" s="66"/>
      <c r="C62" s="66"/>
      <c r="D62" s="66"/>
      <c r="E62" s="66"/>
      <c r="F62" s="66"/>
      <c r="G62" s="66"/>
      <c r="H62" s="45"/>
      <c r="I62" s="45"/>
      <c r="J62" s="66"/>
      <c r="K62" s="66"/>
      <c r="L62" s="66"/>
    </row>
    <row r="63" spans="1:14" s="58" customFormat="1" ht="13.5" customHeight="1" x14ac:dyDescent="0.25">
      <c r="B63" s="66"/>
      <c r="C63" s="66"/>
      <c r="D63" s="66"/>
      <c r="E63" s="66"/>
      <c r="F63" s="66"/>
      <c r="G63" s="66"/>
      <c r="H63" s="45"/>
      <c r="I63" s="45"/>
      <c r="J63" s="66"/>
      <c r="K63" s="66"/>
      <c r="L63" s="66"/>
    </row>
    <row r="64" spans="1:14" s="58" customFormat="1" ht="13.5" customHeight="1" x14ac:dyDescent="0.25">
      <c r="B64" s="66"/>
      <c r="C64" s="66"/>
      <c r="D64" s="66"/>
      <c r="E64" s="66"/>
      <c r="F64" s="66"/>
      <c r="G64" s="66"/>
      <c r="H64" s="45"/>
      <c r="I64" s="45"/>
      <c r="J64" s="66"/>
      <c r="K64" s="66"/>
      <c r="L64" s="66"/>
    </row>
    <row r="65" s="58" customFormat="1" ht="12" x14ac:dyDescent="0.25"/>
    <row r="66" s="58" customFormat="1" ht="12" x14ac:dyDescent="0.25"/>
    <row r="67" s="58" customFormat="1" ht="12" x14ac:dyDescent="0.25"/>
    <row r="68" s="58" customFormat="1" ht="12" x14ac:dyDescent="0.25"/>
    <row r="69" s="58" customFormat="1" ht="12" x14ac:dyDescent="0.25"/>
    <row r="70" s="58" customFormat="1" ht="12" x14ac:dyDescent="0.25"/>
    <row r="71" s="58" customFormat="1" ht="12" x14ac:dyDescent="0.25"/>
    <row r="72" s="58" customFormat="1" ht="12" x14ac:dyDescent="0.25"/>
    <row r="73" s="58" customFormat="1" ht="12" x14ac:dyDescent="0.25"/>
    <row r="74" s="58" customFormat="1" ht="12" x14ac:dyDescent="0.25"/>
    <row r="75" s="58" customFormat="1" ht="12" x14ac:dyDescent="0.25"/>
    <row r="76" s="58" customFormat="1" ht="12" x14ac:dyDescent="0.25"/>
    <row r="77" s="58" customFormat="1" ht="12" x14ac:dyDescent="0.25"/>
    <row r="78" s="58" customFormat="1" ht="12" x14ac:dyDescent="0.25"/>
    <row r="79" s="58" customFormat="1" ht="12" x14ac:dyDescent="0.25"/>
    <row r="80" s="58" customFormat="1" ht="12" x14ac:dyDescent="0.25"/>
    <row r="81" s="58" customFormat="1" ht="12" x14ac:dyDescent="0.25"/>
    <row r="82" s="58" customFormat="1" ht="12" x14ac:dyDescent="0.25"/>
    <row r="83" s="58" customFormat="1" ht="12" x14ac:dyDescent="0.25"/>
    <row r="84" s="58" customFormat="1" ht="12" x14ac:dyDescent="0.25"/>
    <row r="85" s="58" customFormat="1" ht="12" x14ac:dyDescent="0.25"/>
    <row r="86" s="58" customFormat="1" ht="12" x14ac:dyDescent="0.25"/>
    <row r="87" s="58" customFormat="1" ht="12" x14ac:dyDescent="0.25"/>
    <row r="88" s="58" customFormat="1" ht="12" x14ac:dyDescent="0.25"/>
    <row r="89" s="58" customFormat="1" ht="12" x14ac:dyDescent="0.25"/>
    <row r="90" s="58" customFormat="1" ht="12" x14ac:dyDescent="0.25"/>
    <row r="91" s="58" customFormat="1" ht="12" x14ac:dyDescent="0.25"/>
    <row r="92" s="58" customFormat="1" ht="12" x14ac:dyDescent="0.25"/>
    <row r="93" s="58" customFormat="1" ht="12" x14ac:dyDescent="0.25"/>
    <row r="94" s="58" customFormat="1" ht="12" x14ac:dyDescent="0.25"/>
    <row r="95" s="58" customFormat="1" ht="12" x14ac:dyDescent="0.25"/>
    <row r="96" s="58" customFormat="1" ht="12" x14ac:dyDescent="0.25"/>
    <row r="97" s="58" customFormat="1" ht="12" x14ac:dyDescent="0.25"/>
    <row r="98" s="58" customFormat="1" ht="12" x14ac:dyDescent="0.25"/>
    <row r="99" s="58" customFormat="1" ht="12" x14ac:dyDescent="0.25"/>
    <row r="100" s="58" customFormat="1" ht="12" x14ac:dyDescent="0.25"/>
    <row r="101" s="58" customFormat="1" ht="12" x14ac:dyDescent="0.25"/>
    <row r="102" s="58" customFormat="1" ht="12" x14ac:dyDescent="0.25"/>
    <row r="103" s="58" customFormat="1" ht="12" x14ac:dyDescent="0.25"/>
    <row r="104" s="58" customFormat="1" ht="12" x14ac:dyDescent="0.25"/>
    <row r="105" ht="14.25" x14ac:dyDescent="0.25"/>
    <row r="106" ht="14.25" x14ac:dyDescent="0.25"/>
    <row r="107" ht="14.25" x14ac:dyDescent="0.25"/>
    <row r="108" ht="14.25" x14ac:dyDescent="0.25"/>
    <row r="109" ht="14.25" x14ac:dyDescent="0.25"/>
    <row r="110" ht="14.25" x14ac:dyDescent="0.25"/>
    <row r="111" ht="14.25" x14ac:dyDescent="0.25"/>
    <row r="112" ht="14.25" x14ac:dyDescent="0.25"/>
    <row r="113" ht="14.25" x14ac:dyDescent="0.25"/>
  </sheetData>
  <mergeCells count="40">
    <mergeCell ref="B52:C52"/>
    <mergeCell ref="B53:C53"/>
    <mergeCell ref="A58:I58"/>
    <mergeCell ref="B45:C45"/>
    <mergeCell ref="B46:C46"/>
    <mergeCell ref="B47:C47"/>
    <mergeCell ref="B49:C49"/>
    <mergeCell ref="B50:C50"/>
    <mergeCell ref="B51:C51"/>
    <mergeCell ref="B39:C39"/>
    <mergeCell ref="B40:C40"/>
    <mergeCell ref="B41:C41"/>
    <mergeCell ref="B42:C42"/>
    <mergeCell ref="B43:C43"/>
    <mergeCell ref="B44:C44"/>
    <mergeCell ref="B32:C32"/>
    <mergeCell ref="B33:C33"/>
    <mergeCell ref="B34:C34"/>
    <mergeCell ref="B35:C35"/>
    <mergeCell ref="B36:C36"/>
    <mergeCell ref="B38:C38"/>
    <mergeCell ref="B25:C25"/>
    <mergeCell ref="B26:C26"/>
    <mergeCell ref="B27:C27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A7:I7"/>
    <mergeCell ref="A10:I10"/>
    <mergeCell ref="A11:I11"/>
    <mergeCell ref="A12:I12"/>
    <mergeCell ref="B15:C17"/>
    <mergeCell ref="D15:H15"/>
    <mergeCell ref="I15:I16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9"/>
  <sheetViews>
    <sheetView workbookViewId="0">
      <selection activeCell="A6" sqref="A6:L6"/>
    </sheetView>
  </sheetViews>
  <sheetFormatPr baseColWidth="10" defaultRowHeight="14.25" x14ac:dyDescent="0.25"/>
  <cols>
    <col min="1" max="1" width="4.425781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0" width="5.28515625" style="1" customWidth="1"/>
    <col min="11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77" t="s">
        <v>0</v>
      </c>
      <c r="B7" s="77"/>
      <c r="C7" s="77"/>
      <c r="D7" s="77"/>
      <c r="E7" s="77"/>
      <c r="F7" s="77"/>
      <c r="G7" s="77"/>
      <c r="H7" s="77"/>
      <c r="I7" s="77"/>
      <c r="J7" s="97"/>
      <c r="K7" s="97"/>
      <c r="L7" s="97"/>
    </row>
    <row r="10" spans="1:12" ht="15" x14ac:dyDescent="0.25">
      <c r="A10" s="78" t="s">
        <v>68</v>
      </c>
      <c r="B10" s="78"/>
      <c r="C10" s="78"/>
      <c r="D10" s="78"/>
      <c r="E10" s="78"/>
      <c r="F10" s="78"/>
      <c r="G10" s="78"/>
      <c r="H10" s="78"/>
      <c r="I10" s="78"/>
      <c r="J10" s="98"/>
      <c r="K10" s="98"/>
      <c r="L10" s="98"/>
    </row>
    <row r="11" spans="1:12" x14ac:dyDescent="0.25">
      <c r="A11" s="79" t="s">
        <v>69</v>
      </c>
      <c r="B11" s="79"/>
      <c r="C11" s="79"/>
      <c r="D11" s="79"/>
      <c r="E11" s="79"/>
      <c r="F11" s="79"/>
      <c r="G11" s="79"/>
      <c r="H11" s="79"/>
      <c r="I11" s="79"/>
    </row>
    <row r="12" spans="1:12" x14ac:dyDescent="0.25">
      <c r="A12" s="79" t="s">
        <v>70</v>
      </c>
      <c r="B12" s="79"/>
      <c r="C12" s="79"/>
      <c r="D12" s="79"/>
      <c r="E12" s="79"/>
      <c r="F12" s="79"/>
      <c r="G12" s="79"/>
      <c r="H12" s="79"/>
      <c r="I12" s="79"/>
    </row>
    <row r="13" spans="1:12" ht="8.25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8.25" customHeight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customFormat="1" ht="15" x14ac:dyDescent="0.25">
      <c r="B15" s="138" t="s">
        <v>3</v>
      </c>
      <c r="C15" s="139"/>
      <c r="D15" s="140" t="s">
        <v>71</v>
      </c>
      <c r="E15" s="141"/>
      <c r="F15" s="141"/>
      <c r="G15" s="141"/>
      <c r="H15" s="142"/>
      <c r="I15" s="143" t="s">
        <v>72</v>
      </c>
    </row>
    <row r="16" spans="1:12" customFormat="1" ht="24.75" x14ac:dyDescent="0.25">
      <c r="B16" s="144"/>
      <c r="C16" s="145"/>
      <c r="D16" s="146" t="s">
        <v>73</v>
      </c>
      <c r="E16" s="147" t="s">
        <v>74</v>
      </c>
      <c r="F16" s="146" t="s">
        <v>1</v>
      </c>
      <c r="G16" s="146" t="s">
        <v>2</v>
      </c>
      <c r="H16" s="146" t="s">
        <v>6</v>
      </c>
      <c r="I16" s="143"/>
    </row>
    <row r="17" spans="2:14" customFormat="1" ht="15" x14ac:dyDescent="0.25">
      <c r="B17" s="148"/>
      <c r="C17" s="149"/>
      <c r="D17" s="150">
        <v>1</v>
      </c>
      <c r="E17" s="150">
        <v>2</v>
      </c>
      <c r="F17" s="150" t="s">
        <v>75</v>
      </c>
      <c r="G17" s="150">
        <v>4</v>
      </c>
      <c r="H17" s="150">
        <v>5</v>
      </c>
      <c r="I17" s="150" t="s">
        <v>76</v>
      </c>
    </row>
    <row r="18" spans="2:14" customFormat="1" ht="15" x14ac:dyDescent="0.25">
      <c r="B18" s="151"/>
      <c r="C18" s="152"/>
      <c r="D18" s="153"/>
      <c r="E18" s="153"/>
      <c r="F18" s="153"/>
      <c r="G18" s="153"/>
      <c r="H18" s="153"/>
      <c r="I18" s="153"/>
    </row>
    <row r="19" spans="2:14" customFormat="1" ht="15" x14ac:dyDescent="0.25">
      <c r="B19" s="154" t="s">
        <v>110</v>
      </c>
      <c r="C19" s="155"/>
      <c r="D19" s="156">
        <v>121444711.17999999</v>
      </c>
      <c r="E19" s="156">
        <v>0</v>
      </c>
      <c r="F19" s="157">
        <f>D19+E19</f>
        <v>121444711.17999999</v>
      </c>
      <c r="G19" s="156">
        <f>'x capitulo'!H51</f>
        <v>25057574.590000004</v>
      </c>
      <c r="H19" s="156">
        <f>'x capitulo'!J51</f>
        <v>24206850.860000003</v>
      </c>
      <c r="I19" s="157">
        <f>F19-G19</f>
        <v>96387136.589999989</v>
      </c>
    </row>
    <row r="20" spans="2:14" customFormat="1" ht="15" x14ac:dyDescent="0.25">
      <c r="B20" s="158" t="s">
        <v>111</v>
      </c>
      <c r="C20" s="155"/>
      <c r="D20" s="156"/>
      <c r="E20" s="156"/>
      <c r="F20" s="157"/>
      <c r="G20" s="156"/>
      <c r="H20" s="156"/>
      <c r="I20" s="157"/>
    </row>
    <row r="21" spans="2:14" customFormat="1" ht="15" x14ac:dyDescent="0.25">
      <c r="B21" s="158"/>
      <c r="C21" s="159"/>
      <c r="D21" s="156"/>
      <c r="E21" s="156"/>
      <c r="F21" s="157"/>
      <c r="G21" s="156"/>
      <c r="H21" s="156"/>
      <c r="I21" s="157"/>
    </row>
    <row r="22" spans="2:14" customFormat="1" ht="15" x14ac:dyDescent="0.25">
      <c r="B22" s="154"/>
      <c r="C22" s="155"/>
      <c r="D22" s="156"/>
      <c r="E22" s="156"/>
      <c r="F22" s="157"/>
      <c r="G22" s="156"/>
      <c r="H22" s="156"/>
      <c r="I22" s="157"/>
    </row>
    <row r="23" spans="2:14" customFormat="1" ht="15" x14ac:dyDescent="0.25">
      <c r="B23" s="154"/>
      <c r="C23" s="155"/>
      <c r="D23" s="156"/>
      <c r="E23" s="156"/>
      <c r="F23" s="157"/>
      <c r="G23" s="156"/>
      <c r="H23" s="156"/>
      <c r="I23" s="157"/>
    </row>
    <row r="24" spans="2:14" customFormat="1" ht="15" x14ac:dyDescent="0.25">
      <c r="B24" s="154"/>
      <c r="C24" s="155"/>
      <c r="D24" s="156"/>
      <c r="E24" s="156"/>
      <c r="F24" s="157"/>
      <c r="G24" s="156"/>
      <c r="H24" s="156"/>
      <c r="I24" s="157"/>
    </row>
    <row r="25" spans="2:14" customFormat="1" ht="15" x14ac:dyDescent="0.25">
      <c r="B25" s="154"/>
      <c r="C25" s="155"/>
      <c r="D25" s="156"/>
      <c r="E25" s="156"/>
      <c r="F25" s="157"/>
      <c r="G25" s="156"/>
      <c r="H25" s="156"/>
      <c r="I25" s="157"/>
    </row>
    <row r="26" spans="2:14" customFormat="1" ht="15" x14ac:dyDescent="0.25">
      <c r="B26" s="154"/>
      <c r="C26" s="155"/>
      <c r="D26" s="156"/>
      <c r="E26" s="156"/>
      <c r="F26" s="157"/>
      <c r="G26" s="156"/>
      <c r="H26" s="156"/>
      <c r="I26" s="157"/>
    </row>
    <row r="27" spans="2:14" customFormat="1" ht="15" x14ac:dyDescent="0.25">
      <c r="B27" s="154"/>
      <c r="C27" s="155"/>
      <c r="D27" s="156"/>
      <c r="E27" s="156"/>
      <c r="F27" s="157"/>
      <c r="G27" s="156"/>
      <c r="H27" s="156"/>
      <c r="I27" s="157"/>
    </row>
    <row r="28" spans="2:14" customFormat="1" ht="15" x14ac:dyDescent="0.25">
      <c r="B28" s="154"/>
      <c r="C28" s="155"/>
      <c r="D28" s="156"/>
      <c r="E28" s="156"/>
      <c r="F28" s="157"/>
      <c r="G28" s="156"/>
      <c r="H28" s="156"/>
      <c r="I28" s="157"/>
    </row>
    <row r="29" spans="2:14" customFormat="1" ht="15" x14ac:dyDescent="0.25">
      <c r="B29" s="160"/>
      <c r="C29" s="161"/>
      <c r="D29" s="162"/>
      <c r="E29" s="162"/>
      <c r="F29" s="162"/>
      <c r="G29" s="162"/>
      <c r="H29" s="162"/>
      <c r="I29" s="162"/>
    </row>
    <row r="30" spans="2:14" customFormat="1" ht="24" x14ac:dyDescent="0.25">
      <c r="B30" s="163"/>
      <c r="C30" s="164" t="s">
        <v>109</v>
      </c>
      <c r="D30" s="165">
        <f t="shared" ref="D30:I30" si="0">SUM(D19:D28)</f>
        <v>121444711.17999999</v>
      </c>
      <c r="E30" s="165">
        <f t="shared" si="0"/>
        <v>0</v>
      </c>
      <c r="F30" s="165">
        <f t="shared" si="0"/>
        <v>121444711.17999999</v>
      </c>
      <c r="G30" s="165">
        <f t="shared" si="0"/>
        <v>25057574.590000004</v>
      </c>
      <c r="H30" s="165">
        <f t="shared" si="0"/>
        <v>24206850.860000003</v>
      </c>
      <c r="I30" s="165">
        <f t="shared" si="0"/>
        <v>96387136.589999989</v>
      </c>
    </row>
    <row r="31" spans="2:14" s="58" customFormat="1" ht="14.25" customHeight="1" x14ac:dyDescent="0.25">
      <c r="I31" s="59"/>
      <c r="J31" s="59"/>
      <c r="N31" s="59"/>
    </row>
    <row r="32" spans="2:14" s="58" customFormat="1" ht="13.5" customHeight="1" x14ac:dyDescent="0.25"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</row>
    <row r="33" spans="1:12" s="58" customFormat="1" ht="13.5" customHeight="1" x14ac:dyDescent="0.25">
      <c r="A33" s="67" t="s">
        <v>57</v>
      </c>
      <c r="B33" s="67"/>
      <c r="C33" s="67"/>
      <c r="D33" s="67"/>
      <c r="E33" s="67"/>
      <c r="F33" s="67"/>
      <c r="G33" s="67"/>
      <c r="H33" s="67"/>
      <c r="I33" s="67"/>
      <c r="J33" s="137"/>
      <c r="K33" s="137"/>
      <c r="L33" s="137"/>
    </row>
    <row r="34" spans="1:12" s="58" customFormat="1" ht="13.5" customHeight="1" x14ac:dyDescent="0.25">
      <c r="B34" s="66"/>
      <c r="C34" s="66"/>
      <c r="D34" s="66"/>
      <c r="E34" s="66"/>
      <c r="F34" s="66"/>
      <c r="G34" s="66"/>
      <c r="H34" s="45"/>
      <c r="I34" s="45"/>
      <c r="J34" s="66"/>
      <c r="K34" s="66"/>
      <c r="L34" s="66"/>
    </row>
    <row r="35" spans="1:12" s="58" customFormat="1" ht="13.5" customHeight="1" x14ac:dyDescent="0.25">
      <c r="B35" s="66"/>
      <c r="C35" s="66"/>
      <c r="D35" s="66"/>
      <c r="E35" s="66"/>
      <c r="F35" s="66"/>
      <c r="G35" s="66"/>
      <c r="H35" s="45"/>
      <c r="I35" s="45"/>
      <c r="J35" s="66"/>
      <c r="K35" s="66"/>
      <c r="L35" s="66"/>
    </row>
    <row r="36" spans="1:12" s="58" customFormat="1" ht="13.5" customHeight="1" x14ac:dyDescent="0.25">
      <c r="B36" s="66"/>
      <c r="C36" s="66"/>
      <c r="D36" s="66"/>
      <c r="E36" s="66"/>
      <c r="F36" s="66"/>
      <c r="G36" s="66"/>
      <c r="H36" s="45"/>
      <c r="I36" s="45"/>
      <c r="J36" s="66"/>
      <c r="K36" s="66"/>
      <c r="L36" s="66"/>
    </row>
    <row r="37" spans="1:12" s="58" customFormat="1" ht="13.5" customHeight="1" x14ac:dyDescent="0.25">
      <c r="B37" s="66"/>
      <c r="C37" s="66"/>
      <c r="D37" s="66"/>
      <c r="E37" s="66"/>
      <c r="F37" s="66"/>
      <c r="G37" s="66"/>
      <c r="H37" s="45"/>
      <c r="I37" s="45"/>
      <c r="J37" s="66"/>
      <c r="K37" s="66"/>
      <c r="L37" s="66"/>
    </row>
    <row r="38" spans="1:12" s="58" customFormat="1" ht="13.5" customHeight="1" x14ac:dyDescent="0.25">
      <c r="B38" s="66"/>
      <c r="C38" s="66"/>
      <c r="D38" s="66"/>
      <c r="E38" s="66"/>
      <c r="F38" s="66"/>
      <c r="G38" s="66"/>
      <c r="H38" s="45"/>
      <c r="I38" s="45"/>
      <c r="J38" s="66"/>
      <c r="K38" s="66"/>
      <c r="L38" s="66"/>
    </row>
    <row r="39" spans="1:12" s="58" customFormat="1" ht="13.5" customHeight="1" x14ac:dyDescent="0.25">
      <c r="B39" s="66"/>
      <c r="C39" s="66"/>
      <c r="D39" s="66"/>
      <c r="E39" s="66"/>
      <c r="F39" s="66"/>
      <c r="G39" s="66"/>
      <c r="H39" s="45"/>
      <c r="I39" s="45"/>
      <c r="J39" s="66"/>
      <c r="K39" s="66"/>
      <c r="L39" s="66"/>
    </row>
    <row r="40" spans="1:12" s="58" customFormat="1" ht="12" x14ac:dyDescent="0.25"/>
    <row r="41" spans="1:12" s="58" customFormat="1" ht="12" x14ac:dyDescent="0.25"/>
    <row r="42" spans="1:12" s="58" customFormat="1" ht="12" x14ac:dyDescent="0.25"/>
    <row r="43" spans="1:12" s="58" customFormat="1" ht="12" x14ac:dyDescent="0.25"/>
    <row r="44" spans="1:12" s="58" customFormat="1" ht="12" x14ac:dyDescent="0.25"/>
    <row r="45" spans="1:12" s="58" customFormat="1" ht="12" x14ac:dyDescent="0.25"/>
    <row r="46" spans="1:12" s="58" customFormat="1" ht="12" x14ac:dyDescent="0.25"/>
    <row r="47" spans="1:12" s="58" customFormat="1" ht="12" x14ac:dyDescent="0.25"/>
    <row r="48" spans="1:12" s="58" customFormat="1" ht="12" x14ac:dyDescent="0.25"/>
    <row r="49" s="58" customFormat="1" ht="12" x14ac:dyDescent="0.25"/>
    <row r="50" s="58" customFormat="1" ht="12" x14ac:dyDescent="0.25"/>
    <row r="51" s="58" customFormat="1" ht="12" x14ac:dyDescent="0.25"/>
    <row r="52" s="58" customFormat="1" ht="12" x14ac:dyDescent="0.25"/>
    <row r="53" s="58" customFormat="1" ht="12" x14ac:dyDescent="0.25"/>
    <row r="54" s="58" customFormat="1" ht="12" x14ac:dyDescent="0.25"/>
    <row r="55" s="58" customFormat="1" ht="12" x14ac:dyDescent="0.25"/>
    <row r="56" s="58" customFormat="1" ht="12" x14ac:dyDescent="0.25"/>
    <row r="57" s="58" customFormat="1" ht="12" x14ac:dyDescent="0.25"/>
    <row r="58" s="58" customFormat="1" ht="12" x14ac:dyDescent="0.25"/>
    <row r="59" s="58" customFormat="1" ht="12" x14ac:dyDescent="0.25"/>
    <row r="60" s="58" customFormat="1" ht="12" x14ac:dyDescent="0.25"/>
    <row r="61" s="58" customFormat="1" ht="12" x14ac:dyDescent="0.25"/>
    <row r="62" s="58" customFormat="1" ht="12" x14ac:dyDescent="0.25"/>
    <row r="63" s="58" customFormat="1" ht="12" x14ac:dyDescent="0.25"/>
    <row r="64" s="58" customFormat="1" ht="12" x14ac:dyDescent="0.25"/>
    <row r="65" s="58" customFormat="1" ht="12" x14ac:dyDescent="0.25"/>
    <row r="66" s="58" customFormat="1" ht="12" x14ac:dyDescent="0.25"/>
    <row r="67" s="58" customFormat="1" ht="12" x14ac:dyDescent="0.25"/>
    <row r="68" s="58" customFormat="1" ht="12" x14ac:dyDescent="0.25"/>
    <row r="69" s="58" customFormat="1" ht="12" x14ac:dyDescent="0.25"/>
    <row r="70" s="58" customFormat="1" ht="12" x14ac:dyDescent="0.25"/>
    <row r="71" s="58" customFormat="1" ht="12" x14ac:dyDescent="0.25"/>
    <row r="72" s="58" customFormat="1" ht="12" x14ac:dyDescent="0.25"/>
    <row r="73" s="58" customFormat="1" ht="12" x14ac:dyDescent="0.25"/>
    <row r="74" s="58" customFormat="1" ht="12" x14ac:dyDescent="0.25"/>
    <row r="75" s="58" customFormat="1" ht="12" x14ac:dyDescent="0.25"/>
    <row r="76" s="58" customFormat="1" ht="12" x14ac:dyDescent="0.25"/>
    <row r="77" s="58" customFormat="1" ht="12" x14ac:dyDescent="0.25"/>
    <row r="78" s="58" customFormat="1" ht="12" x14ac:dyDescent="0.25"/>
    <row r="79" s="58" customFormat="1" ht="12" x14ac:dyDescent="0.25"/>
  </sheetData>
  <mergeCells count="8">
    <mergeCell ref="A33:I33"/>
    <mergeCell ref="A7:I7"/>
    <mergeCell ref="A10:I10"/>
    <mergeCell ref="A11:I11"/>
    <mergeCell ref="A12:I12"/>
    <mergeCell ref="B15:C17"/>
    <mergeCell ref="D15:H15"/>
    <mergeCell ref="I15:I16"/>
  </mergeCells>
  <printOptions horizontalCentered="1"/>
  <pageMargins left="0.70866141732283472" right="0.23622047244094491" top="0.55118110236220474" bottom="0.15748031496062992" header="0.31496062992125984" footer="0.15748031496062992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x capitulo</vt:lpstr>
      <vt:lpstr>x objeto del gasto</vt:lpstr>
      <vt:lpstr>x clasif econ</vt:lpstr>
      <vt:lpstr>x clasif func</vt:lpstr>
      <vt:lpstr>x clasif admtva</vt:lpstr>
      <vt:lpstr>Hoja4</vt:lpstr>
      <vt:lpstr>'x capitulo'!Área_de_impresión</vt:lpstr>
      <vt:lpstr>'x clasif admtva'!Área_de_impresión</vt:lpstr>
      <vt:lpstr>'x clasif econ'!Área_de_impresión</vt:lpstr>
      <vt:lpstr>'x clasif func'!Área_de_impresión</vt:lpstr>
      <vt:lpstr>'x objeto del gasto'!Área_de_impresión</vt:lpstr>
      <vt:lpstr>'x capitulo'!Títulos_a_imprimir</vt:lpstr>
      <vt:lpstr>'x clasif admtva'!Títulos_a_imprimir</vt:lpstr>
      <vt:lpstr>'x clasif econ'!Títulos_a_imprimir</vt:lpstr>
      <vt:lpstr>'x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2017-03-17T18:30:31Z</cp:lastPrinted>
  <dcterms:created xsi:type="dcterms:W3CDTF">2010-10-28T22:18:35Z</dcterms:created>
  <dcterms:modified xsi:type="dcterms:W3CDTF">2017-03-17T18:30:41Z</dcterms:modified>
</cp:coreProperties>
</file>